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ademecloud-my.sharepoint.com/personal/antoine_delbergue_ademe_fr/Documents/Bureau/"/>
    </mc:Choice>
  </mc:AlternateContent>
  <xr:revisionPtr revIDLastSave="14" documentId="8_{897C9A31-C342-44FC-8E7F-983EDC27E628}" xr6:coauthVersionLast="47" xr6:coauthVersionMax="47" xr10:uidLastSave="{44C46844-1423-40A3-8676-EBE8F7D8AC3F}"/>
  <bookViews>
    <workbookView xWindow="-110" yWindow="-110" windowWidth="19420" windowHeight="10420" activeTab="1" xr2:uid="{00000000-000D-0000-FFFF-FFFF00000000}"/>
  </bookViews>
  <sheets>
    <sheet name="Notice" sheetId="5" r:id="rId1"/>
    <sheet name="Demande d'aide" sheetId="1" r:id="rId2"/>
    <sheet name="données" sheetId="2" state="hidden" r:id="rId3"/>
    <sheet name="Barême plein2022" sheetId="3" r:id="rId4"/>
    <sheet name="Barême enrichissement 2023" sheetId="4" r:id="rId5"/>
    <sheet name="export_csv" sheetId="6" r:id="rId6"/>
  </sheets>
  <definedNames>
    <definedName name="_xlnm._FilterDatabase" localSheetId="1" hidden="1">'Demande d''aide'!$A$4:$F$6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 i="2" l="1"/>
  <c r="G94" i="1"/>
  <c r="H94" i="1"/>
  <c r="I94" i="1"/>
  <c r="J94" i="1"/>
  <c r="H95" i="1"/>
  <c r="I95" i="1"/>
  <c r="J95" i="1"/>
  <c r="G95" i="1"/>
  <c r="D97" i="1"/>
  <c r="D98" i="1" l="1"/>
  <c r="D99" i="1"/>
  <c r="G97" i="1"/>
  <c r="D100" i="1" l="1"/>
  <c r="D79" i="1"/>
  <c r="E79" i="1"/>
  <c r="F79" i="1"/>
  <c r="G79" i="1"/>
  <c r="H79" i="1"/>
  <c r="I79" i="1"/>
  <c r="J79" i="1"/>
  <c r="K79" i="1"/>
  <c r="L79" i="1"/>
  <c r="M79" i="1"/>
  <c r="N79" i="1"/>
  <c r="O79" i="1"/>
  <c r="P79" i="1"/>
  <c r="Q79" i="1"/>
  <c r="R79" i="1"/>
  <c r="S79" i="1"/>
  <c r="T79" i="1"/>
  <c r="U79" i="1"/>
  <c r="V79" i="1"/>
  <c r="W79" i="1"/>
  <c r="X79" i="1"/>
  <c r="Y79" i="1"/>
  <c r="Z79" i="1"/>
  <c r="D70" i="1"/>
  <c r="E70" i="1"/>
  <c r="F70" i="1"/>
  <c r="G70" i="1"/>
  <c r="H70" i="1"/>
  <c r="I70" i="1"/>
  <c r="J70" i="1"/>
  <c r="K70" i="1"/>
  <c r="L70" i="1"/>
  <c r="M70" i="1"/>
  <c r="N70" i="1"/>
  <c r="O70" i="1"/>
  <c r="P70" i="1"/>
  <c r="Q70" i="1"/>
  <c r="R70" i="1"/>
  <c r="S70" i="1"/>
  <c r="T70" i="1"/>
  <c r="U70" i="1"/>
  <c r="V70" i="1"/>
  <c r="W70" i="1"/>
  <c r="X70" i="1"/>
  <c r="Y70" i="1"/>
  <c r="Z70" i="1"/>
  <c r="L9" i="6" l="1"/>
  <c r="L8" i="6"/>
  <c r="L7" i="6"/>
  <c r="L6" i="6"/>
  <c r="L5" i="6"/>
  <c r="L4" i="6"/>
  <c r="L3" i="6"/>
  <c r="L2" i="6"/>
  <c r="K9" i="6"/>
  <c r="K8" i="6"/>
  <c r="K7" i="6"/>
  <c r="K6" i="6"/>
  <c r="K5" i="6"/>
  <c r="K4" i="6"/>
  <c r="K3" i="6"/>
  <c r="K2" i="6"/>
  <c r="G116" i="1"/>
  <c r="M131" i="1"/>
  <c r="M130" i="1"/>
  <c r="G72" i="1" l="1"/>
  <c r="H72" i="1"/>
  <c r="I72" i="1"/>
  <c r="J72" i="1"/>
  <c r="K72" i="1"/>
  <c r="L72" i="1"/>
  <c r="M72" i="1"/>
  <c r="N72" i="1"/>
  <c r="O72" i="1"/>
  <c r="P72" i="1"/>
  <c r="Q72" i="1"/>
  <c r="R72" i="1"/>
  <c r="S72" i="1"/>
  <c r="T72" i="1"/>
  <c r="U72" i="1"/>
  <c r="V72" i="1"/>
  <c r="W72" i="1"/>
  <c r="X72" i="1"/>
  <c r="Y72" i="1"/>
  <c r="Z72" i="1"/>
  <c r="D72" i="1"/>
  <c r="AG6" i="1"/>
  <c r="AH6" i="1"/>
  <c r="AI6" i="1"/>
  <c r="AJ6" i="1"/>
  <c r="AK6" i="1"/>
  <c r="AL6" i="1"/>
  <c r="AM6" i="1"/>
  <c r="AN6" i="1"/>
  <c r="AO6" i="1"/>
  <c r="AP6" i="1"/>
  <c r="AF6" i="1"/>
  <c r="AF23" i="1"/>
  <c r="AP8" i="1" l="1"/>
  <c r="AP9" i="1"/>
  <c r="AP10" i="1"/>
  <c r="AP11" i="1"/>
  <c r="AP12" i="1"/>
  <c r="AP13" i="1"/>
  <c r="AP14" i="1"/>
  <c r="AP15" i="1"/>
  <c r="AP16" i="1"/>
  <c r="AP17" i="1"/>
  <c r="AP18" i="1"/>
  <c r="AO8" i="1"/>
  <c r="AO9" i="1"/>
  <c r="AO10" i="1"/>
  <c r="AO11" i="1"/>
  <c r="AO12" i="1"/>
  <c r="AO13" i="1"/>
  <c r="AO14" i="1"/>
  <c r="AO15" i="1"/>
  <c r="AO16" i="1"/>
  <c r="AO17" i="1"/>
  <c r="AO18" i="1"/>
  <c r="AN8" i="1"/>
  <c r="AN9" i="1"/>
  <c r="AN10" i="1"/>
  <c r="AN11" i="1"/>
  <c r="AN12" i="1"/>
  <c r="AN13" i="1"/>
  <c r="AN14" i="1"/>
  <c r="AN15" i="1"/>
  <c r="AN16" i="1"/>
  <c r="AN17" i="1"/>
  <c r="AN18" i="1"/>
  <c r="AM8" i="1"/>
  <c r="AM9" i="1"/>
  <c r="AM10" i="1"/>
  <c r="AM11" i="1"/>
  <c r="AM12" i="1"/>
  <c r="AM13" i="1"/>
  <c r="AM14" i="1"/>
  <c r="AM15" i="1"/>
  <c r="AM16" i="1"/>
  <c r="AM17" i="1"/>
  <c r="AM18" i="1"/>
  <c r="AL8" i="1"/>
  <c r="AL9" i="1"/>
  <c r="AL10" i="1"/>
  <c r="AL11" i="1"/>
  <c r="AL12" i="1"/>
  <c r="AL13" i="1"/>
  <c r="AL14" i="1"/>
  <c r="AL15" i="1"/>
  <c r="AL16" i="1"/>
  <c r="AL17" i="1"/>
  <c r="AL18" i="1"/>
  <c r="AK8" i="1"/>
  <c r="AK9" i="1"/>
  <c r="AK10" i="1"/>
  <c r="AK11" i="1"/>
  <c r="AK12" i="1"/>
  <c r="AK13" i="1"/>
  <c r="AK14" i="1"/>
  <c r="AK15" i="1"/>
  <c r="AK16" i="1"/>
  <c r="AK17" i="1"/>
  <c r="AK18" i="1"/>
  <c r="AJ8" i="1"/>
  <c r="AJ9" i="1"/>
  <c r="AJ10" i="1"/>
  <c r="AJ11" i="1"/>
  <c r="AJ12" i="1"/>
  <c r="AJ13" i="1"/>
  <c r="AJ14" i="1"/>
  <c r="AJ15" i="1"/>
  <c r="AJ16" i="1"/>
  <c r="AJ17" i="1"/>
  <c r="AJ18" i="1"/>
  <c r="AI8" i="1"/>
  <c r="AI9" i="1"/>
  <c r="AI10" i="1"/>
  <c r="AI11" i="1"/>
  <c r="AI12" i="1"/>
  <c r="AI13" i="1"/>
  <c r="AI14" i="1"/>
  <c r="AI15" i="1"/>
  <c r="AI16" i="1"/>
  <c r="AI17" i="1"/>
  <c r="AI18" i="1"/>
  <c r="AH8" i="1"/>
  <c r="AH9" i="1"/>
  <c r="AH10" i="1"/>
  <c r="AH11" i="1"/>
  <c r="AH12" i="1"/>
  <c r="AH13" i="1"/>
  <c r="AH14" i="1"/>
  <c r="AH15" i="1"/>
  <c r="AH16" i="1"/>
  <c r="AH17" i="1"/>
  <c r="AF8" i="1"/>
  <c r="AF9" i="1"/>
  <c r="AF10" i="1"/>
  <c r="AF11" i="1"/>
  <c r="AF12" i="1"/>
  <c r="AF13" i="1"/>
  <c r="AF14" i="1"/>
  <c r="AF15" i="1"/>
  <c r="AF16" i="1"/>
  <c r="AG9" i="1"/>
  <c r="AG10" i="1"/>
  <c r="AG11" i="1"/>
  <c r="AG12" i="1"/>
  <c r="AG13" i="1"/>
  <c r="AG14" i="1"/>
  <c r="AG15" i="1"/>
  <c r="AG16" i="1"/>
  <c r="AG17" i="1"/>
  <c r="AG18" i="1"/>
  <c r="AG19" i="1"/>
  <c r="AG20" i="1"/>
  <c r="AG21" i="1"/>
  <c r="AG22" i="1"/>
  <c r="AG23" i="1"/>
  <c r="AG8" i="1"/>
  <c r="AH18" i="1"/>
  <c r="AH19" i="1"/>
  <c r="AI19" i="1"/>
  <c r="AJ19" i="1"/>
  <c r="AK19" i="1"/>
  <c r="AL19" i="1"/>
  <c r="AM19" i="1"/>
  <c r="AN19" i="1"/>
  <c r="AO19" i="1"/>
  <c r="AP19" i="1"/>
  <c r="AH20" i="1"/>
  <c r="AI20" i="1"/>
  <c r="AJ20" i="1"/>
  <c r="AK20" i="1"/>
  <c r="AL20" i="1"/>
  <c r="AM20" i="1"/>
  <c r="AN20" i="1"/>
  <c r="AO20" i="1"/>
  <c r="AP20" i="1"/>
  <c r="AH21" i="1"/>
  <c r="AI21" i="1"/>
  <c r="AJ21" i="1"/>
  <c r="AK21" i="1"/>
  <c r="AL21" i="1"/>
  <c r="AM21" i="1"/>
  <c r="AN21" i="1"/>
  <c r="AO21" i="1"/>
  <c r="AP21" i="1"/>
  <c r="AH22" i="1"/>
  <c r="AI22" i="1"/>
  <c r="AJ22" i="1"/>
  <c r="AK22" i="1"/>
  <c r="AL22" i="1"/>
  <c r="AM22" i="1"/>
  <c r="AN22" i="1"/>
  <c r="AO22" i="1"/>
  <c r="AP22" i="1"/>
  <c r="AH23" i="1"/>
  <c r="AI23" i="1"/>
  <c r="AJ23" i="1"/>
  <c r="AK23" i="1"/>
  <c r="AL23" i="1"/>
  <c r="AM23" i="1"/>
  <c r="AN23" i="1"/>
  <c r="AO23" i="1"/>
  <c r="AP23" i="1"/>
  <c r="AF17" i="1"/>
  <c r="AF18" i="1"/>
  <c r="AF19" i="1"/>
  <c r="AF20" i="1"/>
  <c r="AF21" i="1"/>
  <c r="AF22" i="1"/>
  <c r="AE9" i="1"/>
  <c r="AE10" i="1"/>
  <c r="AE11" i="1"/>
  <c r="AE12" i="1"/>
  <c r="AE13" i="1"/>
  <c r="AE14" i="1"/>
  <c r="AE15" i="1"/>
  <c r="AE16" i="1"/>
  <c r="AE17" i="1"/>
  <c r="AE18" i="1"/>
  <c r="AE19" i="1"/>
  <c r="AE20" i="1"/>
  <c r="AE21" i="1"/>
  <c r="AE22" i="1"/>
  <c r="AE23" i="1"/>
  <c r="AE8" i="1"/>
  <c r="AO5" i="1" l="1"/>
  <c r="AG5" i="1"/>
  <c r="AF5" i="1"/>
  <c r="AJ5" i="1"/>
  <c r="AM5" i="1"/>
  <c r="AH5" i="1"/>
  <c r="AP5" i="1"/>
  <c r="AK5" i="1"/>
  <c r="AL5" i="1"/>
  <c r="AN5" i="1"/>
  <c r="AI5" i="1"/>
  <c r="AK27" i="1"/>
  <c r="AN27" i="1"/>
  <c r="AO27" i="1"/>
  <c r="AG27" i="1"/>
  <c r="AF27" i="1"/>
  <c r="AJ27" i="1"/>
  <c r="AI27" i="1"/>
  <c r="AM27" i="1"/>
  <c r="AL27" i="1"/>
  <c r="AH27" i="1"/>
  <c r="AP27" i="1"/>
  <c r="L132" i="1"/>
  <c r="AA12" i="1"/>
  <c r="L111" i="1" s="1"/>
  <c r="E99" i="1"/>
  <c r="F99" i="1"/>
  <c r="G99" i="1"/>
  <c r="H99" i="1"/>
  <c r="I99" i="1"/>
  <c r="J99" i="1"/>
  <c r="K99" i="1"/>
  <c r="L99" i="1"/>
  <c r="M99" i="1"/>
  <c r="N99" i="1"/>
  <c r="O99" i="1"/>
  <c r="P99" i="1"/>
  <c r="Q99" i="1"/>
  <c r="R99" i="1"/>
  <c r="S99" i="1"/>
  <c r="T99" i="1"/>
  <c r="U99" i="1"/>
  <c r="V99" i="1"/>
  <c r="W99" i="1"/>
  <c r="X99" i="1"/>
  <c r="Y99" i="1"/>
  <c r="Z99" i="1"/>
  <c r="E98" i="1"/>
  <c r="F98" i="1"/>
  <c r="G98" i="1"/>
  <c r="H98" i="1"/>
  <c r="I98" i="1"/>
  <c r="J98" i="1"/>
  <c r="K98" i="1"/>
  <c r="L98" i="1"/>
  <c r="M98" i="1"/>
  <c r="N98" i="1"/>
  <c r="O98" i="1"/>
  <c r="P98" i="1"/>
  <c r="Q98" i="1"/>
  <c r="R98" i="1"/>
  <c r="S98" i="1"/>
  <c r="T98" i="1"/>
  <c r="U98" i="1"/>
  <c r="V98" i="1"/>
  <c r="W98" i="1"/>
  <c r="X98" i="1"/>
  <c r="Y98" i="1"/>
  <c r="Z98" i="1"/>
  <c r="AK24" i="1" l="1"/>
  <c r="AK25" i="1" s="1"/>
  <c r="AK26" i="1" s="1"/>
  <c r="AJ24" i="1"/>
  <c r="AJ25" i="1" s="1"/>
  <c r="AJ26" i="1" s="1"/>
  <c r="AP24" i="1"/>
  <c r="AP25" i="1" s="1"/>
  <c r="AF24" i="1"/>
  <c r="AI24" i="1"/>
  <c r="AI25" i="1" s="1"/>
  <c r="AI26" i="1" s="1"/>
  <c r="AG24" i="1"/>
  <c r="AG25" i="1" s="1"/>
  <c r="AG26" i="1" s="1"/>
  <c r="AL24" i="1"/>
  <c r="AL25" i="1" s="1"/>
  <c r="AL26" i="1" s="1"/>
  <c r="AN24" i="1"/>
  <c r="AN25" i="1" s="1"/>
  <c r="AN26" i="1" s="1"/>
  <c r="AH24" i="1"/>
  <c r="AH25" i="1" s="1"/>
  <c r="AH26" i="1" s="1"/>
  <c r="AO24" i="1"/>
  <c r="AO25" i="1" s="1"/>
  <c r="AO26" i="1" s="1"/>
  <c r="AM24" i="1"/>
  <c r="AM25" i="1" s="1"/>
  <c r="AM26" i="1" s="1"/>
  <c r="D93" i="1"/>
  <c r="H97" i="1" a="1"/>
  <c r="H97" i="1" s="1"/>
  <c r="I97" i="1" a="1"/>
  <c r="I97" i="1" s="1"/>
  <c r="J97" i="1" a="1"/>
  <c r="J97" i="1" s="1"/>
  <c r="K97" i="1" a="1"/>
  <c r="K97" i="1" s="1"/>
  <c r="L97" i="1" a="1"/>
  <c r="L97" i="1" s="1"/>
  <c r="M97" i="1" a="1"/>
  <c r="M97" i="1" s="1"/>
  <c r="N97" i="1" a="1"/>
  <c r="N97" i="1" s="1"/>
  <c r="O97" i="1" a="1"/>
  <c r="O97" i="1" s="1"/>
  <c r="P97" i="1" a="1"/>
  <c r="P97" i="1" s="1"/>
  <c r="Q97" i="1" a="1"/>
  <c r="Q97" i="1" s="1"/>
  <c r="R97" i="1" a="1"/>
  <c r="R97" i="1" s="1"/>
  <c r="S97" i="1" a="1"/>
  <c r="S97" i="1" s="1"/>
  <c r="T97" i="1" a="1"/>
  <c r="T97" i="1" s="1"/>
  <c r="U97" i="1" a="1"/>
  <c r="U97" i="1" s="1"/>
  <c r="V97" i="1" a="1"/>
  <c r="V97" i="1" s="1"/>
  <c r="W97" i="1" a="1"/>
  <c r="W97" i="1" s="1"/>
  <c r="X97" i="1" a="1"/>
  <c r="X97" i="1" s="1"/>
  <c r="Y97" i="1" a="1"/>
  <c r="Y97" i="1" s="1"/>
  <c r="Z97" i="1" a="1"/>
  <c r="Z97" i="1" s="1"/>
  <c r="C16" i="1"/>
  <c r="C17" i="1"/>
  <c r="C18" i="1"/>
  <c r="C19" i="1"/>
  <c r="C20" i="1"/>
  <c r="C21" i="1"/>
  <c r="C22" i="1"/>
  <c r="C23" i="1"/>
  <c r="C24" i="1"/>
  <c r="C25" i="1"/>
  <c r="C26" i="1"/>
  <c r="C27" i="1"/>
  <c r="C28" i="1"/>
  <c r="C29" i="1"/>
  <c r="C30" i="1"/>
  <c r="C31" i="1"/>
  <c r="C32" i="1"/>
  <c r="C33" i="1"/>
  <c r="C34" i="1"/>
  <c r="C35" i="1"/>
  <c r="C36" i="1"/>
  <c r="C15" i="1"/>
  <c r="E73" i="1"/>
  <c r="F73" i="1"/>
  <c r="G73" i="1"/>
  <c r="H73" i="1"/>
  <c r="I73" i="1"/>
  <c r="J73" i="1"/>
  <c r="K73" i="1"/>
  <c r="L73" i="1"/>
  <c r="M73" i="1"/>
  <c r="N73" i="1"/>
  <c r="O73" i="1"/>
  <c r="P73" i="1"/>
  <c r="Q73" i="1"/>
  <c r="R73" i="1"/>
  <c r="S73" i="1"/>
  <c r="T73" i="1"/>
  <c r="U73" i="1"/>
  <c r="V73" i="1"/>
  <c r="W73" i="1"/>
  <c r="X73" i="1"/>
  <c r="Y73" i="1"/>
  <c r="Z73" i="1"/>
  <c r="E66" i="1"/>
  <c r="F66" i="1"/>
  <c r="G66" i="1"/>
  <c r="H66" i="1"/>
  <c r="I66" i="1"/>
  <c r="J66" i="1"/>
  <c r="K66" i="1"/>
  <c r="L66" i="1"/>
  <c r="M66" i="1"/>
  <c r="N66" i="1"/>
  <c r="O66" i="1"/>
  <c r="P66" i="1"/>
  <c r="Q66" i="1"/>
  <c r="R66" i="1"/>
  <c r="S66" i="1"/>
  <c r="T66" i="1"/>
  <c r="U66" i="1"/>
  <c r="V66" i="1"/>
  <c r="W66" i="1"/>
  <c r="X66" i="1"/>
  <c r="Y66" i="1"/>
  <c r="Z66" i="1"/>
  <c r="F97" i="1" a="1"/>
  <c r="E97" i="1" a="1"/>
  <c r="AN29" i="1" l="1"/>
  <c r="AN28" i="1"/>
  <c r="AM28" i="1"/>
  <c r="AM29" i="1"/>
  <c r="AL28" i="1"/>
  <c r="AL29" i="1"/>
  <c r="AP28" i="1"/>
  <c r="AP29" i="1"/>
  <c r="AP26" i="1"/>
  <c r="AO29" i="1"/>
  <c r="AO28" i="1"/>
  <c r="AG29" i="1"/>
  <c r="AG28" i="1"/>
  <c r="AJ29" i="1"/>
  <c r="AJ28" i="1"/>
  <c r="AH28" i="1"/>
  <c r="AH29" i="1"/>
  <c r="AI28" i="1"/>
  <c r="AI29" i="1"/>
  <c r="AK29" i="1"/>
  <c r="AK28" i="1"/>
  <c r="AA93" i="1"/>
  <c r="F97" i="1"/>
  <c r="E97" i="1"/>
  <c r="J40" i="1"/>
  <c r="Z47" i="1"/>
  <c r="D41" i="1"/>
  <c r="D47" i="1"/>
  <c r="W47" i="1"/>
  <c r="D45" i="1"/>
  <c r="U42" i="1"/>
  <c r="D44" i="1"/>
  <c r="U46" i="1"/>
  <c r="Q44" i="1"/>
  <c r="S41" i="1"/>
  <c r="K41" i="1"/>
  <c r="Y40" i="1"/>
  <c r="Q40" i="1"/>
  <c r="I40" i="1"/>
  <c r="V47" i="1"/>
  <c r="N47" i="1"/>
  <c r="F47" i="1"/>
  <c r="T46" i="1"/>
  <c r="L46" i="1"/>
  <c r="Z45" i="1"/>
  <c r="R45" i="1"/>
  <c r="J45" i="1"/>
  <c r="X44" i="1"/>
  <c r="P44" i="1"/>
  <c r="H44" i="1"/>
  <c r="V43" i="1"/>
  <c r="N43" i="1"/>
  <c r="T42" i="1"/>
  <c r="L42" i="1"/>
  <c r="Z41" i="1"/>
  <c r="R41" i="1"/>
  <c r="J41" i="1"/>
  <c r="X40" i="1"/>
  <c r="P40" i="1"/>
  <c r="H40" i="1"/>
  <c r="S45" i="1"/>
  <c r="G43" i="1"/>
  <c r="S46" i="1"/>
  <c r="Q45" i="1"/>
  <c r="O44" i="1"/>
  <c r="G44" i="1"/>
  <c r="S42" i="1"/>
  <c r="K42" i="1"/>
  <c r="Y41" i="1"/>
  <c r="Q41" i="1"/>
  <c r="I41" i="1"/>
  <c r="W40" i="1"/>
  <c r="O40" i="1"/>
  <c r="G40" i="1"/>
  <c r="O47" i="1"/>
  <c r="Y44" i="1"/>
  <c r="M42" i="1"/>
  <c r="M47" i="1"/>
  <c r="K46" i="1"/>
  <c r="I45" i="1"/>
  <c r="M43" i="1"/>
  <c r="T47" i="1"/>
  <c r="L47" i="1"/>
  <c r="Z46" i="1"/>
  <c r="R46" i="1"/>
  <c r="J46" i="1"/>
  <c r="X45" i="1"/>
  <c r="P45" i="1"/>
  <c r="H45" i="1"/>
  <c r="V44" i="1"/>
  <c r="N44" i="1"/>
  <c r="F44" i="1"/>
  <c r="T43" i="1"/>
  <c r="L43" i="1"/>
  <c r="Z42" i="1"/>
  <c r="R42" i="1"/>
  <c r="J42" i="1"/>
  <c r="X41" i="1"/>
  <c r="P41" i="1"/>
  <c r="H41" i="1"/>
  <c r="V40" i="1"/>
  <c r="N40" i="1"/>
  <c r="K45" i="1"/>
  <c r="W43" i="1"/>
  <c r="U47" i="1"/>
  <c r="E47" i="1"/>
  <c r="Y45" i="1"/>
  <c r="W44" i="1"/>
  <c r="U43" i="1"/>
  <c r="S47" i="1"/>
  <c r="K47" i="1"/>
  <c r="Y46" i="1"/>
  <c r="Q46" i="1"/>
  <c r="I46" i="1"/>
  <c r="W45" i="1"/>
  <c r="O45" i="1"/>
  <c r="G45" i="1"/>
  <c r="U44" i="1"/>
  <c r="M44" i="1"/>
  <c r="E44" i="1"/>
  <c r="S43" i="1"/>
  <c r="K43" i="1"/>
  <c r="Y42" i="1"/>
  <c r="Q42" i="1"/>
  <c r="I42" i="1"/>
  <c r="W41" i="1"/>
  <c r="O41" i="1"/>
  <c r="G41" i="1"/>
  <c r="U40" i="1"/>
  <c r="M40" i="1"/>
  <c r="O43" i="1"/>
  <c r="R47" i="1"/>
  <c r="J47" i="1"/>
  <c r="P46" i="1"/>
  <c r="V45" i="1"/>
  <c r="N45" i="1"/>
  <c r="T44" i="1"/>
  <c r="L44" i="1"/>
  <c r="Z43" i="1"/>
  <c r="R43" i="1"/>
  <c r="J43" i="1"/>
  <c r="X42" i="1"/>
  <c r="P42" i="1"/>
  <c r="H42" i="1"/>
  <c r="V41" i="1"/>
  <c r="N41" i="1"/>
  <c r="F41" i="1"/>
  <c r="T40" i="1"/>
  <c r="L40" i="1"/>
  <c r="G47" i="1"/>
  <c r="I44" i="1"/>
  <c r="X46" i="1"/>
  <c r="H46" i="1"/>
  <c r="Y47" i="1"/>
  <c r="Q47" i="1"/>
  <c r="I47" i="1"/>
  <c r="W46" i="1"/>
  <c r="O46" i="1"/>
  <c r="G46" i="1"/>
  <c r="U45" i="1"/>
  <c r="M45" i="1"/>
  <c r="S44" i="1"/>
  <c r="K44" i="1"/>
  <c r="Y43" i="1"/>
  <c r="Q43" i="1"/>
  <c r="I43" i="1"/>
  <c r="W42" i="1"/>
  <c r="O42" i="1"/>
  <c r="G42" i="1"/>
  <c r="U41" i="1"/>
  <c r="M41" i="1"/>
  <c r="S40" i="1"/>
  <c r="K40" i="1"/>
  <c r="M46" i="1"/>
  <c r="X47" i="1"/>
  <c r="P47" i="1"/>
  <c r="H47" i="1"/>
  <c r="V46" i="1"/>
  <c r="N46" i="1"/>
  <c r="T45" i="1"/>
  <c r="L45" i="1"/>
  <c r="Z44" i="1"/>
  <c r="R44" i="1"/>
  <c r="J44" i="1"/>
  <c r="X43" i="1"/>
  <c r="P43" i="1"/>
  <c r="H43" i="1"/>
  <c r="V42" i="1"/>
  <c r="N42" i="1"/>
  <c r="T41" i="1"/>
  <c r="L41" i="1"/>
  <c r="Z40" i="1"/>
  <c r="R40" i="1"/>
  <c r="G76" i="1"/>
  <c r="H76" i="1"/>
  <c r="I76" i="1"/>
  <c r="J76" i="1"/>
  <c r="K76" i="1"/>
  <c r="L76" i="1"/>
  <c r="M76" i="1"/>
  <c r="N76" i="1"/>
  <c r="O76" i="1"/>
  <c r="P76" i="1"/>
  <c r="Q76" i="1"/>
  <c r="R76" i="1"/>
  <c r="S76" i="1"/>
  <c r="T76" i="1"/>
  <c r="U76" i="1"/>
  <c r="V76" i="1"/>
  <c r="W76" i="1"/>
  <c r="X76" i="1"/>
  <c r="Y76" i="1"/>
  <c r="Z76" i="1"/>
  <c r="H67" i="1"/>
  <c r="I67" i="1"/>
  <c r="J67" i="1"/>
  <c r="K67" i="1"/>
  <c r="L67" i="1"/>
  <c r="M67" i="1"/>
  <c r="N67" i="1"/>
  <c r="O67" i="1"/>
  <c r="P67" i="1"/>
  <c r="Q67" i="1"/>
  <c r="R67" i="1"/>
  <c r="S67" i="1"/>
  <c r="T67" i="1"/>
  <c r="U67" i="1"/>
  <c r="V67" i="1"/>
  <c r="W67" i="1"/>
  <c r="X67" i="1"/>
  <c r="Y67" i="1"/>
  <c r="Z67" i="1"/>
  <c r="E14" i="1"/>
  <c r="F14" i="1"/>
  <c r="H14" i="1"/>
  <c r="I14" i="1"/>
  <c r="J14" i="1"/>
  <c r="K14" i="1"/>
  <c r="L14" i="1"/>
  <c r="M14" i="1"/>
  <c r="N14" i="1"/>
  <c r="O14" i="1"/>
  <c r="P14" i="1"/>
  <c r="Q14" i="1"/>
  <c r="R14" i="1"/>
  <c r="S14" i="1"/>
  <c r="T14" i="1"/>
  <c r="U14" i="1"/>
  <c r="V14" i="1"/>
  <c r="W14" i="1"/>
  <c r="X14" i="1"/>
  <c r="Y14" i="1"/>
  <c r="Z14" i="1"/>
  <c r="D14" i="1"/>
  <c r="E50" i="1"/>
  <c r="F50" i="1"/>
  <c r="G50" i="1"/>
  <c r="H50" i="1"/>
  <c r="I50" i="1"/>
  <c r="J50" i="1"/>
  <c r="K50" i="1"/>
  <c r="L50" i="1"/>
  <c r="M50" i="1"/>
  <c r="N50" i="1"/>
  <c r="O50" i="1"/>
  <c r="P50" i="1"/>
  <c r="Q50" i="1"/>
  <c r="R50" i="1"/>
  <c r="S50" i="1"/>
  <c r="T50" i="1"/>
  <c r="U50" i="1"/>
  <c r="V50" i="1"/>
  <c r="W50" i="1"/>
  <c r="X50" i="1"/>
  <c r="Y50" i="1"/>
  <c r="Z50" i="1"/>
  <c r="E51" i="1"/>
  <c r="F51" i="1"/>
  <c r="G51" i="1"/>
  <c r="H51" i="1"/>
  <c r="I51" i="1"/>
  <c r="J51" i="1"/>
  <c r="K51" i="1"/>
  <c r="L51" i="1"/>
  <c r="M51" i="1"/>
  <c r="N51" i="1"/>
  <c r="O51" i="1"/>
  <c r="P51" i="1"/>
  <c r="Q51" i="1"/>
  <c r="R51" i="1"/>
  <c r="S51" i="1"/>
  <c r="T51" i="1"/>
  <c r="U51" i="1"/>
  <c r="V51" i="1"/>
  <c r="W51" i="1"/>
  <c r="X51" i="1"/>
  <c r="Y51" i="1"/>
  <c r="Z51" i="1"/>
  <c r="E52" i="1"/>
  <c r="F52" i="1"/>
  <c r="G52" i="1"/>
  <c r="H52" i="1"/>
  <c r="I52" i="1"/>
  <c r="J52" i="1"/>
  <c r="K52" i="1"/>
  <c r="L52" i="1"/>
  <c r="M52" i="1"/>
  <c r="N52" i="1"/>
  <c r="O52" i="1"/>
  <c r="P52" i="1"/>
  <c r="Q52" i="1"/>
  <c r="R52" i="1"/>
  <c r="S52" i="1"/>
  <c r="T52" i="1"/>
  <c r="U52" i="1"/>
  <c r="V52" i="1"/>
  <c r="W52" i="1"/>
  <c r="X52" i="1"/>
  <c r="Y52" i="1"/>
  <c r="Z52" i="1"/>
  <c r="E53" i="1"/>
  <c r="F53" i="1"/>
  <c r="G53" i="1"/>
  <c r="H53" i="1"/>
  <c r="I53" i="1"/>
  <c r="J53" i="1"/>
  <c r="K53" i="1"/>
  <c r="L53" i="1"/>
  <c r="M53" i="1"/>
  <c r="N53" i="1"/>
  <c r="O53" i="1"/>
  <c r="P53" i="1"/>
  <c r="Q53" i="1"/>
  <c r="R53" i="1"/>
  <c r="S53" i="1"/>
  <c r="T53" i="1"/>
  <c r="U53" i="1"/>
  <c r="V53" i="1"/>
  <c r="W53" i="1"/>
  <c r="X53" i="1"/>
  <c r="Y53" i="1"/>
  <c r="Z53" i="1"/>
  <c r="E54" i="1"/>
  <c r="F54" i="1"/>
  <c r="G54" i="1"/>
  <c r="H54" i="1"/>
  <c r="I54" i="1"/>
  <c r="J54" i="1"/>
  <c r="K54" i="1"/>
  <c r="L54" i="1"/>
  <c r="M54" i="1"/>
  <c r="N54" i="1"/>
  <c r="O54" i="1"/>
  <c r="P54" i="1"/>
  <c r="Q54" i="1"/>
  <c r="R54" i="1"/>
  <c r="S54" i="1"/>
  <c r="T54" i="1"/>
  <c r="U54" i="1"/>
  <c r="V54" i="1"/>
  <c r="W54" i="1"/>
  <c r="X54" i="1"/>
  <c r="Y54" i="1"/>
  <c r="Z54" i="1"/>
  <c r="E55" i="1"/>
  <c r="F55" i="1"/>
  <c r="H55" i="1"/>
  <c r="I55" i="1"/>
  <c r="J55" i="1"/>
  <c r="K55" i="1"/>
  <c r="L55" i="1"/>
  <c r="M55" i="1"/>
  <c r="N55" i="1"/>
  <c r="O55" i="1"/>
  <c r="P55" i="1"/>
  <c r="Q55" i="1"/>
  <c r="R55" i="1"/>
  <c r="S55" i="1"/>
  <c r="T55" i="1"/>
  <c r="U55" i="1"/>
  <c r="V55" i="1"/>
  <c r="W55" i="1"/>
  <c r="X55" i="1"/>
  <c r="Y55" i="1"/>
  <c r="Z55" i="1"/>
  <c r="E56" i="1"/>
  <c r="F56" i="1"/>
  <c r="G56" i="1"/>
  <c r="H56" i="1"/>
  <c r="I56" i="1"/>
  <c r="J56" i="1"/>
  <c r="K56" i="1"/>
  <c r="L56" i="1"/>
  <c r="M56" i="1"/>
  <c r="N56" i="1"/>
  <c r="O56" i="1"/>
  <c r="P56" i="1"/>
  <c r="Q56" i="1"/>
  <c r="R56" i="1"/>
  <c r="S56" i="1"/>
  <c r="T56" i="1"/>
  <c r="U56" i="1"/>
  <c r="V56" i="1"/>
  <c r="W56" i="1"/>
  <c r="X56" i="1"/>
  <c r="Y56" i="1"/>
  <c r="Z56" i="1"/>
  <c r="E57" i="1"/>
  <c r="F57" i="1"/>
  <c r="G57" i="1"/>
  <c r="H57" i="1"/>
  <c r="I57" i="1"/>
  <c r="J57" i="1"/>
  <c r="K57" i="1"/>
  <c r="L57" i="1"/>
  <c r="M57" i="1"/>
  <c r="N57" i="1"/>
  <c r="O57" i="1"/>
  <c r="P57" i="1"/>
  <c r="Q57" i="1"/>
  <c r="R57" i="1"/>
  <c r="S57" i="1"/>
  <c r="T57" i="1"/>
  <c r="U57" i="1"/>
  <c r="V57" i="1"/>
  <c r="W57" i="1"/>
  <c r="X57" i="1"/>
  <c r="Y57" i="1"/>
  <c r="Z57" i="1"/>
  <c r="E58" i="1"/>
  <c r="F58" i="1"/>
  <c r="G58" i="1"/>
  <c r="H58" i="1"/>
  <c r="I58" i="1"/>
  <c r="J58" i="1"/>
  <c r="K58" i="1"/>
  <c r="L58" i="1"/>
  <c r="M58" i="1"/>
  <c r="N58" i="1"/>
  <c r="O58" i="1"/>
  <c r="P58" i="1"/>
  <c r="Q58" i="1"/>
  <c r="R58" i="1"/>
  <c r="S58" i="1"/>
  <c r="T58" i="1"/>
  <c r="U58" i="1"/>
  <c r="V58" i="1"/>
  <c r="W58" i="1"/>
  <c r="X58" i="1"/>
  <c r="Y58" i="1"/>
  <c r="Z58" i="1"/>
  <c r="E59" i="1"/>
  <c r="F59" i="1"/>
  <c r="G59" i="1"/>
  <c r="H59" i="1"/>
  <c r="I59" i="1"/>
  <c r="J59" i="1"/>
  <c r="K59" i="1"/>
  <c r="L59" i="1"/>
  <c r="M59" i="1"/>
  <c r="N59" i="1"/>
  <c r="O59" i="1"/>
  <c r="P59" i="1"/>
  <c r="Q59" i="1"/>
  <c r="R59" i="1"/>
  <c r="S59" i="1"/>
  <c r="T59" i="1"/>
  <c r="U59" i="1"/>
  <c r="V59" i="1"/>
  <c r="W59" i="1"/>
  <c r="X59" i="1"/>
  <c r="Y59" i="1"/>
  <c r="Z59" i="1"/>
  <c r="E60" i="1"/>
  <c r="F60" i="1"/>
  <c r="G60" i="1"/>
  <c r="H60" i="1"/>
  <c r="I60" i="1"/>
  <c r="J60" i="1"/>
  <c r="K60" i="1"/>
  <c r="L60" i="1"/>
  <c r="M60" i="1"/>
  <c r="N60" i="1"/>
  <c r="O60" i="1"/>
  <c r="P60" i="1"/>
  <c r="Q60" i="1"/>
  <c r="R60" i="1"/>
  <c r="S60" i="1"/>
  <c r="T60" i="1"/>
  <c r="U60" i="1"/>
  <c r="V60" i="1"/>
  <c r="W60" i="1"/>
  <c r="X60" i="1"/>
  <c r="Y60" i="1"/>
  <c r="Z60" i="1"/>
  <c r="E61" i="1"/>
  <c r="F61" i="1"/>
  <c r="G61" i="1"/>
  <c r="H61" i="1"/>
  <c r="I61" i="1"/>
  <c r="J61" i="1"/>
  <c r="K61" i="1"/>
  <c r="L61" i="1"/>
  <c r="M61" i="1"/>
  <c r="N61" i="1"/>
  <c r="O61" i="1"/>
  <c r="P61" i="1"/>
  <c r="Q61" i="1"/>
  <c r="R61" i="1"/>
  <c r="S61" i="1"/>
  <c r="T61" i="1"/>
  <c r="U61" i="1"/>
  <c r="V61" i="1"/>
  <c r="W61" i="1"/>
  <c r="X61" i="1"/>
  <c r="Y61" i="1"/>
  <c r="Z61" i="1"/>
  <c r="D61" i="1"/>
  <c r="D60" i="1"/>
  <c r="D59" i="1"/>
  <c r="D58" i="1"/>
  <c r="D57" i="1"/>
  <c r="D56" i="1"/>
  <c r="D53" i="1"/>
  <c r="D51" i="1"/>
  <c r="D54" i="1"/>
  <c r="D50" i="1"/>
  <c r="AA69" i="1"/>
  <c r="D92" i="1" l="1"/>
  <c r="AC14" i="1"/>
  <c r="D66" i="1"/>
  <c r="AA47" i="1"/>
  <c r="AA44" i="1"/>
  <c r="AA50" i="1"/>
  <c r="AA92" i="1" l="1"/>
  <c r="E94" i="1"/>
  <c r="F94" i="1"/>
  <c r="D94" i="1"/>
  <c r="D73" i="1"/>
  <c r="H90" i="1"/>
  <c r="AA94" i="1" l="1"/>
  <c r="I37" i="1"/>
  <c r="I64" i="1" s="1"/>
  <c r="L89" i="1"/>
  <c r="M89" i="1"/>
  <c r="N89" i="1"/>
  <c r="O89" i="1"/>
  <c r="P89" i="1"/>
  <c r="Q89" i="1"/>
  <c r="R89" i="1"/>
  <c r="S89" i="1"/>
  <c r="T89" i="1"/>
  <c r="U89" i="1"/>
  <c r="V89" i="1"/>
  <c r="W89" i="1"/>
  <c r="X89" i="1"/>
  <c r="Y89" i="1"/>
  <c r="Z89" i="1"/>
  <c r="F89" i="1"/>
  <c r="H89" i="1"/>
  <c r="I89" i="1"/>
  <c r="J89" i="1"/>
  <c r="K89" i="1"/>
  <c r="O37" i="1" l="1"/>
  <c r="O64" i="1" s="1"/>
  <c r="K37" i="1"/>
  <c r="K64" i="1" s="1"/>
  <c r="G37" i="1"/>
  <c r="S37" i="1"/>
  <c r="S64" i="1" s="1"/>
  <c r="Z37" i="1"/>
  <c r="Z64" i="1" s="1"/>
  <c r="R37" i="1"/>
  <c r="R64" i="1" s="1"/>
  <c r="J37" i="1"/>
  <c r="J64" i="1" s="1"/>
  <c r="Y37" i="1"/>
  <c r="Y64" i="1" s="1"/>
  <c r="Q37" i="1"/>
  <c r="Q64" i="1" s="1"/>
  <c r="X37" i="1"/>
  <c r="X64" i="1" s="1"/>
  <c r="P37" i="1"/>
  <c r="P64" i="1" s="1"/>
  <c r="W37" i="1"/>
  <c r="W64" i="1" s="1"/>
  <c r="E37" i="1"/>
  <c r="E64" i="1" s="1"/>
  <c r="V37" i="1"/>
  <c r="V64" i="1" s="1"/>
  <c r="N37" i="1"/>
  <c r="N64" i="1" s="1"/>
  <c r="U37" i="1"/>
  <c r="U64" i="1" s="1"/>
  <c r="M37" i="1"/>
  <c r="M64" i="1" s="1"/>
  <c r="F37" i="1"/>
  <c r="F64" i="1" s="1"/>
  <c r="T37" i="1"/>
  <c r="T64" i="1" s="1"/>
  <c r="L37" i="1"/>
  <c r="L64" i="1" s="1"/>
  <c r="H37" i="1"/>
  <c r="H64" i="1" s="1"/>
  <c r="G121" i="1"/>
  <c r="G5" i="6" s="1"/>
  <c r="H121" i="1"/>
  <c r="G6" i="6" s="1"/>
  <c r="I121" i="1"/>
  <c r="G7" i="6" s="1"/>
  <c r="J121" i="1"/>
  <c r="G8" i="6" s="1"/>
  <c r="E120" i="1"/>
  <c r="F3" i="6" s="1"/>
  <c r="F120" i="1"/>
  <c r="F4" i="6" s="1"/>
  <c r="G120" i="1"/>
  <c r="F5" i="6" s="1"/>
  <c r="H120" i="1"/>
  <c r="F6" i="6" s="1"/>
  <c r="I120" i="1"/>
  <c r="F7" i="6" s="1"/>
  <c r="J120" i="1"/>
  <c r="F8" i="6" s="1"/>
  <c r="K120" i="1"/>
  <c r="F9" i="6" s="1"/>
  <c r="I115" i="1" l="1"/>
  <c r="I113" i="1"/>
  <c r="I112" i="1"/>
  <c r="H113" i="1"/>
  <c r="H115" i="1"/>
  <c r="H112" i="1"/>
  <c r="G115" i="1"/>
  <c r="G112" i="1"/>
  <c r="G113" i="1"/>
  <c r="K115" i="1"/>
  <c r="J113" i="1"/>
  <c r="J112" i="1"/>
  <c r="H111" i="1"/>
  <c r="B6" i="6" s="1"/>
  <c r="I111" i="1"/>
  <c r="B7" i="6" s="1"/>
  <c r="J111" i="1"/>
  <c r="B8" i="6" s="1"/>
  <c r="K111" i="1"/>
  <c r="B9" i="6" s="1"/>
  <c r="F81" i="1"/>
  <c r="G81" i="1"/>
  <c r="H81" i="1"/>
  <c r="I81" i="1"/>
  <c r="J81" i="1"/>
  <c r="K81" i="1"/>
  <c r="L81" i="1"/>
  <c r="M81" i="1"/>
  <c r="N81" i="1"/>
  <c r="O81" i="1"/>
  <c r="P81" i="1"/>
  <c r="Q81" i="1"/>
  <c r="R81" i="1"/>
  <c r="S81" i="1"/>
  <c r="T81" i="1"/>
  <c r="U81" i="1"/>
  <c r="V81" i="1"/>
  <c r="W81" i="1"/>
  <c r="X81" i="1"/>
  <c r="Y81" i="1"/>
  <c r="Z81" i="1"/>
  <c r="E72" i="1"/>
  <c r="F72" i="1"/>
  <c r="D81" i="1"/>
  <c r="AA71" i="1"/>
  <c r="AA77" i="1"/>
  <c r="AA78" i="1"/>
  <c r="AA87" i="1"/>
  <c r="AD69" i="1"/>
  <c r="AA62" i="1"/>
  <c r="G83" i="1"/>
  <c r="J115" i="1" s="1"/>
  <c r="H83" i="1"/>
  <c r="I83" i="1"/>
  <c r="J83" i="1"/>
  <c r="K83" i="1"/>
  <c r="L83" i="1"/>
  <c r="M83" i="1"/>
  <c r="N83" i="1"/>
  <c r="O83" i="1"/>
  <c r="P83" i="1"/>
  <c r="Q83" i="1"/>
  <c r="R83" i="1"/>
  <c r="S83" i="1"/>
  <c r="T83" i="1"/>
  <c r="U83" i="1"/>
  <c r="V83" i="1"/>
  <c r="W83" i="1"/>
  <c r="X83" i="1"/>
  <c r="Y83" i="1"/>
  <c r="Z83" i="1"/>
  <c r="AA65" i="1"/>
  <c r="C6" i="6" l="1"/>
  <c r="C7" i="6"/>
  <c r="C5" i="6"/>
  <c r="C8" i="6"/>
  <c r="AA99" i="1"/>
  <c r="AA98" i="1"/>
  <c r="AB69" i="1"/>
  <c r="AA70" i="1"/>
  <c r="F82" i="1"/>
  <c r="G82" i="1"/>
  <c r="H82" i="1"/>
  <c r="I82" i="1"/>
  <c r="J82" i="1"/>
  <c r="K82" i="1"/>
  <c r="L82" i="1"/>
  <c r="M82" i="1"/>
  <c r="N82" i="1"/>
  <c r="O82" i="1"/>
  <c r="P82" i="1"/>
  <c r="Q82" i="1"/>
  <c r="R82" i="1"/>
  <c r="S82" i="1"/>
  <c r="T82" i="1"/>
  <c r="U82" i="1"/>
  <c r="V82" i="1"/>
  <c r="W82" i="1"/>
  <c r="X82" i="1"/>
  <c r="Y82" i="1"/>
  <c r="Z82" i="1"/>
  <c r="D82" i="1"/>
  <c r="H80" i="1"/>
  <c r="I80" i="1"/>
  <c r="J80" i="1"/>
  <c r="K80" i="1"/>
  <c r="L80" i="1"/>
  <c r="M80" i="1"/>
  <c r="N80" i="1"/>
  <c r="O80" i="1"/>
  <c r="P80" i="1"/>
  <c r="Q80" i="1"/>
  <c r="R80" i="1"/>
  <c r="S80" i="1"/>
  <c r="T80" i="1"/>
  <c r="U80" i="1"/>
  <c r="V80" i="1"/>
  <c r="W80" i="1"/>
  <c r="X80" i="1"/>
  <c r="Y80" i="1"/>
  <c r="Z80" i="1"/>
  <c r="D80" i="1"/>
  <c r="F80" i="1"/>
  <c r="G80" i="1"/>
  <c r="F83" i="1" l="1"/>
  <c r="E80" i="1"/>
  <c r="AA80" i="1" s="1"/>
  <c r="E81" i="1"/>
  <c r="AA81" i="1" s="1"/>
  <c r="AA79" i="1"/>
  <c r="E82" i="1"/>
  <c r="D83" i="1"/>
  <c r="G74" i="1"/>
  <c r="H74" i="1"/>
  <c r="I74" i="1"/>
  <c r="J74" i="1"/>
  <c r="K74" i="1"/>
  <c r="L74" i="1"/>
  <c r="M74" i="1"/>
  <c r="N74" i="1"/>
  <c r="O74" i="1"/>
  <c r="P74" i="1"/>
  <c r="Q74" i="1"/>
  <c r="R74" i="1"/>
  <c r="S74" i="1"/>
  <c r="T74" i="1"/>
  <c r="U74" i="1"/>
  <c r="V74" i="1"/>
  <c r="W74" i="1"/>
  <c r="X74" i="1"/>
  <c r="Y74" i="1"/>
  <c r="Z74" i="1"/>
  <c r="E74" i="1"/>
  <c r="E76" i="1" s="1"/>
  <c r="F74" i="1"/>
  <c r="F76" i="1" s="1"/>
  <c r="D74" i="1"/>
  <c r="L75" i="1" l="1"/>
  <c r="K75" i="1"/>
  <c r="Q75" i="1"/>
  <c r="T75" i="1"/>
  <c r="R75" i="1"/>
  <c r="Y75" i="1"/>
  <c r="I75" i="1"/>
  <c r="X75" i="1"/>
  <c r="P75" i="1"/>
  <c r="H75" i="1"/>
  <c r="S75" i="1"/>
  <c r="J75" i="1"/>
  <c r="O75" i="1"/>
  <c r="V75" i="1"/>
  <c r="Z75" i="1"/>
  <c r="W75" i="1"/>
  <c r="N75" i="1"/>
  <c r="U75" i="1"/>
  <c r="M75" i="1"/>
  <c r="E83" i="1"/>
  <c r="AA83" i="1" s="1"/>
  <c r="G75" i="1"/>
  <c r="AA82" i="1"/>
  <c r="AA74" i="1"/>
  <c r="AA73" i="1"/>
  <c r="D75" i="1" l="1"/>
  <c r="AO10" i="2"/>
  <c r="F100" i="1"/>
  <c r="G100" i="1"/>
  <c r="H100" i="1"/>
  <c r="I100" i="1"/>
  <c r="J100" i="1"/>
  <c r="K100" i="1"/>
  <c r="K101" i="1" s="1"/>
  <c r="K102" i="1" s="1"/>
  <c r="L100" i="1"/>
  <c r="L101" i="1" s="1"/>
  <c r="L102" i="1" s="1"/>
  <c r="M100" i="1"/>
  <c r="M101" i="1" s="1"/>
  <c r="M102" i="1" s="1"/>
  <c r="N100" i="1"/>
  <c r="N101" i="1" s="1"/>
  <c r="N102" i="1" s="1"/>
  <c r="O100" i="1"/>
  <c r="O101" i="1" s="1"/>
  <c r="O102" i="1" s="1"/>
  <c r="P100" i="1"/>
  <c r="P101" i="1" s="1"/>
  <c r="P102" i="1" s="1"/>
  <c r="Q100" i="1"/>
  <c r="Q101" i="1" s="1"/>
  <c r="Q102" i="1" s="1"/>
  <c r="R100" i="1"/>
  <c r="R101" i="1" s="1"/>
  <c r="R102" i="1" s="1"/>
  <c r="S100" i="1"/>
  <c r="S101" i="1" s="1"/>
  <c r="S102" i="1" s="1"/>
  <c r="T100" i="1"/>
  <c r="T101" i="1" s="1"/>
  <c r="T102" i="1" s="1"/>
  <c r="U100" i="1"/>
  <c r="U101" i="1" s="1"/>
  <c r="U102" i="1" s="1"/>
  <c r="V100" i="1"/>
  <c r="V101" i="1" s="1"/>
  <c r="V102" i="1" s="1"/>
  <c r="W100" i="1"/>
  <c r="W101" i="1" s="1"/>
  <c r="W102" i="1" s="1"/>
  <c r="X100" i="1"/>
  <c r="X101" i="1" s="1"/>
  <c r="X102" i="1" s="1"/>
  <c r="Y100" i="1"/>
  <c r="Y101" i="1" s="1"/>
  <c r="Y102" i="1" s="1"/>
  <c r="Z100" i="1"/>
  <c r="Z101" i="1" s="1"/>
  <c r="Z102" i="1" s="1"/>
  <c r="J122" i="1" l="1"/>
  <c r="G122" i="1"/>
  <c r="D76" i="1"/>
  <c r="K122" i="1"/>
  <c r="AA97" i="1"/>
  <c r="E100" i="1"/>
  <c r="K114" i="1" l="1"/>
  <c r="D9" i="6" s="1"/>
  <c r="H9" i="6"/>
  <c r="G114" i="1"/>
  <c r="D5" i="6" s="1"/>
  <c r="H5" i="6"/>
  <c r="J114" i="1"/>
  <c r="D8" i="6" s="1"/>
  <c r="H8" i="6"/>
  <c r="AA100" i="1"/>
  <c r="W4" i="2"/>
  <c r="W5" i="2"/>
  <c r="W6" i="2"/>
  <c r="W7" i="2"/>
  <c r="W8" i="2"/>
  <c r="W19" i="2"/>
  <c r="W20" i="2"/>
  <c r="W18" i="2"/>
  <c r="W15" i="2"/>
  <c r="W16" i="2"/>
  <c r="W17" i="2"/>
  <c r="W3" i="2"/>
  <c r="M42" i="2" l="1" a="1"/>
  <c r="M42" i="2" s="1"/>
  <c r="M41" i="2"/>
  <c r="M40" i="2"/>
  <c r="M34" i="2"/>
  <c r="M35" i="2"/>
  <c r="M36" i="2"/>
  <c r="M37" i="2"/>
  <c r="M38" i="2"/>
  <c r="M39" i="2"/>
  <c r="M33" i="2"/>
  <c r="M29" i="2"/>
  <c r="M30" i="2"/>
  <c r="M31" i="2"/>
  <c r="M32" i="2"/>
  <c r="M28" i="2"/>
  <c r="M27" i="2"/>
  <c r="M26" i="2"/>
  <c r="M25" i="2"/>
  <c r="M23" i="2"/>
  <c r="M24" i="2"/>
  <c r="M19" i="2"/>
  <c r="M20" i="2"/>
  <c r="M21" i="2"/>
  <c r="M22" i="2"/>
  <c r="M18" i="2"/>
  <c r="M13" i="2"/>
  <c r="M14" i="2"/>
  <c r="M15" i="2"/>
  <c r="M16" i="2"/>
  <c r="M17" i="2"/>
  <c r="M12" i="2"/>
  <c r="M11" i="2"/>
  <c r="M10" i="2"/>
  <c r="M9" i="2"/>
  <c r="M4" i="2"/>
  <c r="M5" i="2"/>
  <c r="M6" i="2"/>
  <c r="M7" i="2"/>
  <c r="M8" i="2"/>
  <c r="G111" i="1" l="1"/>
  <c r="B5" i="6" s="1"/>
  <c r="F111" i="1"/>
  <c r="B4" i="6" s="1"/>
  <c r="E111" i="1"/>
  <c r="B3" i="6" s="1"/>
  <c r="D120" i="1"/>
  <c r="F2" i="6" s="1"/>
  <c r="E121" i="1"/>
  <c r="G3" i="6" s="1"/>
  <c r="F121" i="1"/>
  <c r="G4" i="6" s="1"/>
  <c r="K121" i="1"/>
  <c r="G9" i="6" s="1"/>
  <c r="AD36" i="1"/>
  <c r="AB36" i="1" s="1"/>
  <c r="AA36" i="1" s="1"/>
  <c r="AD35" i="1"/>
  <c r="AB35" i="1" s="1"/>
  <c r="AA35" i="1" s="1"/>
  <c r="AD34" i="1"/>
  <c r="AB34" i="1" s="1"/>
  <c r="AA34" i="1" s="1"/>
  <c r="AD33" i="1"/>
  <c r="AB33" i="1" s="1"/>
  <c r="AA33" i="1" s="1"/>
  <c r="AD32" i="1"/>
  <c r="AB32" i="1" s="1"/>
  <c r="AA32" i="1" s="1"/>
  <c r="AD31" i="1"/>
  <c r="AB31" i="1" s="1"/>
  <c r="AA31" i="1" s="1"/>
  <c r="AD30" i="1"/>
  <c r="AB30" i="1" s="1"/>
  <c r="AA30" i="1" s="1"/>
  <c r="AD29" i="1"/>
  <c r="AB29" i="1" s="1"/>
  <c r="AA29" i="1" s="1"/>
  <c r="AD28" i="1"/>
  <c r="AB28" i="1" s="1"/>
  <c r="AA28" i="1" s="1"/>
  <c r="AD27" i="1"/>
  <c r="AB27" i="1" s="1"/>
  <c r="AA27" i="1" s="1"/>
  <c r="AD26" i="1"/>
  <c r="AB26" i="1" s="1"/>
  <c r="AA26" i="1" s="1"/>
  <c r="AD25" i="1"/>
  <c r="AB25" i="1" s="1"/>
  <c r="AA25" i="1" s="1"/>
  <c r="AD24" i="1"/>
  <c r="AB24" i="1" s="1"/>
  <c r="AA24" i="1" s="1"/>
  <c r="AD23" i="1"/>
  <c r="AB23" i="1" s="1"/>
  <c r="AA23" i="1" s="1"/>
  <c r="AD22" i="1"/>
  <c r="AB22" i="1" s="1"/>
  <c r="AA22" i="1" s="1"/>
  <c r="AD21" i="1"/>
  <c r="AB21" i="1" s="1"/>
  <c r="AA21" i="1" s="1"/>
  <c r="AD20" i="1"/>
  <c r="AB20" i="1" s="1"/>
  <c r="AA20" i="1" s="1"/>
  <c r="AD19" i="1"/>
  <c r="AB19" i="1" s="1"/>
  <c r="AA19" i="1" s="1"/>
  <c r="AD18" i="1"/>
  <c r="AB18" i="1" s="1"/>
  <c r="AA18" i="1" s="1"/>
  <c r="AD17" i="1"/>
  <c r="AB17" i="1" s="1"/>
  <c r="AA17" i="1" s="1"/>
  <c r="AD16" i="1"/>
  <c r="AB16" i="1" s="1"/>
  <c r="AA16" i="1" s="1"/>
  <c r="AD15" i="1"/>
  <c r="AB15" i="1" s="1"/>
  <c r="AA15" i="1" s="1"/>
  <c r="AA14" i="1"/>
  <c r="AA13" i="1"/>
  <c r="AD14" i="1" s="1"/>
  <c r="K112" i="1" l="1"/>
  <c r="K113" i="1"/>
  <c r="F112" i="1"/>
  <c r="F113" i="1"/>
  <c r="F115" i="1"/>
  <c r="E113" i="1"/>
  <c r="E115" i="1"/>
  <c r="E112" i="1"/>
  <c r="D86" i="1"/>
  <c r="D85" i="1"/>
  <c r="D111" i="1"/>
  <c r="M120" i="1"/>
  <c r="AA53" i="1"/>
  <c r="AA56" i="1"/>
  <c r="AA59" i="1"/>
  <c r="D121" i="1"/>
  <c r="G2" i="6" s="1"/>
  <c r="AA66" i="1"/>
  <c r="F75" i="1"/>
  <c r="H122" i="1" s="1"/>
  <c r="E75" i="1"/>
  <c r="AA72" i="1"/>
  <c r="AB14" i="1"/>
  <c r="AA37" i="1"/>
  <c r="D39" i="1" s="1"/>
  <c r="E41" i="1" l="1"/>
  <c r="AA41" i="1" s="1"/>
  <c r="F40" i="1"/>
  <c r="D40" i="1"/>
  <c r="E40" i="1"/>
  <c r="G64" i="1"/>
  <c r="G55" i="1"/>
  <c r="F46" i="1"/>
  <c r="D42" i="1"/>
  <c r="C3" i="6"/>
  <c r="M111" i="1"/>
  <c r="B2" i="6"/>
  <c r="C4" i="6"/>
  <c r="H114" i="1"/>
  <c r="D6" i="6" s="1"/>
  <c r="H6" i="6"/>
  <c r="C9" i="6"/>
  <c r="M121" i="1"/>
  <c r="D113" i="1"/>
  <c r="D112" i="1"/>
  <c r="D115" i="1"/>
  <c r="M115" i="1" s="1"/>
  <c r="D64" i="1"/>
  <c r="D46" i="1"/>
  <c r="D43" i="1"/>
  <c r="E46" i="1"/>
  <c r="E42" i="1"/>
  <c r="F42" i="1"/>
  <c r="D55" i="1"/>
  <c r="D52" i="1"/>
  <c r="E43" i="1"/>
  <c r="F43" i="1"/>
  <c r="F45" i="1"/>
  <c r="E45" i="1"/>
  <c r="D88" i="1"/>
  <c r="D89" i="1" s="1"/>
  <c r="G123" i="1" s="1"/>
  <c r="I5" i="6" s="1"/>
  <c r="E122" i="1"/>
  <c r="I122" i="1"/>
  <c r="AA76" i="1"/>
  <c r="AA60" i="1"/>
  <c r="AA58" i="1"/>
  <c r="AA57" i="1"/>
  <c r="L90" i="1"/>
  <c r="T90" i="1"/>
  <c r="W90" i="1"/>
  <c r="M90" i="1"/>
  <c r="U90" i="1"/>
  <c r="N90" i="1"/>
  <c r="V90" i="1"/>
  <c r="O90" i="1"/>
  <c r="I90" i="1"/>
  <c r="P90" i="1"/>
  <c r="X90" i="1"/>
  <c r="J90" i="1"/>
  <c r="R90" i="1"/>
  <c r="Q90" i="1"/>
  <c r="Y90" i="1"/>
  <c r="K90" i="1"/>
  <c r="Z90" i="1"/>
  <c r="S90" i="1"/>
  <c r="AA86" i="1"/>
  <c r="F122" i="1"/>
  <c r="AA61" i="1"/>
  <c r="N121" i="1"/>
  <c r="AD67" i="1"/>
  <c r="AA85" i="1"/>
  <c r="AA75" i="1"/>
  <c r="AD76" i="1" s="1"/>
  <c r="D122" i="1"/>
  <c r="AA40" i="1" l="1"/>
  <c r="AA55" i="1"/>
  <c r="G67" i="1"/>
  <c r="G90" i="1" s="1"/>
  <c r="N115" i="1"/>
  <c r="AA46" i="1"/>
  <c r="M112" i="1"/>
  <c r="C2" i="6"/>
  <c r="F114" i="1"/>
  <c r="D4" i="6" s="1"/>
  <c r="H4" i="6"/>
  <c r="D114" i="1"/>
  <c r="D2" i="6" s="1"/>
  <c r="H2" i="6"/>
  <c r="I114" i="1"/>
  <c r="D7" i="6" s="1"/>
  <c r="H7" i="6"/>
  <c r="E114" i="1"/>
  <c r="D3" i="6" s="1"/>
  <c r="H3" i="6"/>
  <c r="E67" i="1"/>
  <c r="AA42" i="1"/>
  <c r="F67" i="1"/>
  <c r="D116" i="1" s="1"/>
  <c r="AA43" i="1"/>
  <c r="AA45" i="1"/>
  <c r="H123" i="1"/>
  <c r="I6" i="6" s="1"/>
  <c r="M122" i="1"/>
  <c r="N122" i="1" s="1"/>
  <c r="AA52" i="1"/>
  <c r="AA54" i="1"/>
  <c r="AA51" i="1"/>
  <c r="E89" i="1"/>
  <c r="I123" i="1" s="1"/>
  <c r="I7" i="6" s="1"/>
  <c r="G89" i="1"/>
  <c r="J123" i="1" s="1"/>
  <c r="I8" i="6" s="1"/>
  <c r="F123" i="1"/>
  <c r="I4" i="6" s="1"/>
  <c r="AA88" i="1"/>
  <c r="AB76" i="1"/>
  <c r="K116" i="1"/>
  <c r="N112" i="1" l="1"/>
  <c r="E123" i="1"/>
  <c r="I3" i="6" s="1"/>
  <c r="K123" i="1"/>
  <c r="I9" i="6" s="1"/>
  <c r="AA89" i="1"/>
  <c r="D123" i="1"/>
  <c r="I2" i="6" s="1"/>
  <c r="AA64" i="1"/>
  <c r="M123" i="1" l="1"/>
  <c r="N123" i="1" s="1"/>
  <c r="K118" i="1"/>
  <c r="K125" i="1" l="1"/>
  <c r="E9" i="6"/>
  <c r="K129" i="1"/>
  <c r="J9" i="6" s="1"/>
  <c r="K132" i="1" l="1"/>
  <c r="M9" i="6" s="1"/>
  <c r="D67" i="1" l="1"/>
  <c r="F116" i="1" s="1"/>
  <c r="M91" i="1"/>
  <c r="X91" i="1"/>
  <c r="I91" i="1"/>
  <c r="I96" i="1" s="1"/>
  <c r="O91" i="1"/>
  <c r="Z91" i="1"/>
  <c r="G91" i="1"/>
  <c r="N91" i="1"/>
  <c r="H91" i="1"/>
  <c r="H96" i="1" s="1"/>
  <c r="Y91" i="1"/>
  <c r="S91" i="1"/>
  <c r="R91" i="1"/>
  <c r="W91" i="1"/>
  <c r="T91" i="1"/>
  <c r="P91" i="1"/>
  <c r="V91" i="1"/>
  <c r="L91" i="1"/>
  <c r="U91" i="1"/>
  <c r="Q91" i="1"/>
  <c r="F90" i="1"/>
  <c r="E90" i="1"/>
  <c r="K91" i="1"/>
  <c r="J91" i="1"/>
  <c r="J96" i="1" s="1"/>
  <c r="J101" i="1" l="1"/>
  <c r="J102" i="1"/>
  <c r="I101" i="1"/>
  <c r="I102" i="1" s="1"/>
  <c r="H101" i="1"/>
  <c r="H102" i="1"/>
  <c r="G96" i="1"/>
  <c r="D90" i="1"/>
  <c r="F118" i="1" s="1"/>
  <c r="E4" i="6" s="1"/>
  <c r="H116" i="1"/>
  <c r="J116" i="1"/>
  <c r="F91" i="1"/>
  <c r="F95" i="1" s="1"/>
  <c r="F96" i="1" s="1"/>
  <c r="E91" i="1"/>
  <c r="E95" i="1" s="1"/>
  <c r="E96" i="1" s="1"/>
  <c r="E116" i="1"/>
  <c r="J118" i="1"/>
  <c r="E8" i="6" s="1"/>
  <c r="I118" i="1"/>
  <c r="E7" i="6" s="1"/>
  <c r="I116" i="1"/>
  <c r="AA67" i="1"/>
  <c r="AB67" i="1" s="1"/>
  <c r="F125" i="1" l="1"/>
  <c r="G101" i="1"/>
  <c r="G102" i="1" s="1"/>
  <c r="E101" i="1"/>
  <c r="E102" i="1"/>
  <c r="F101" i="1"/>
  <c r="F102" i="1" s="1"/>
  <c r="D91" i="1"/>
  <c r="G118" i="1"/>
  <c r="J125" i="1"/>
  <c r="E118" i="1"/>
  <c r="H118" i="1"/>
  <c r="D118" i="1"/>
  <c r="AA90" i="1"/>
  <c r="M116" i="1"/>
  <c r="N116" i="1" s="1"/>
  <c r="I125" i="1"/>
  <c r="D95" i="1" l="1"/>
  <c r="H125" i="1"/>
  <c r="E6" i="6"/>
  <c r="G125" i="1"/>
  <c r="E5" i="6"/>
  <c r="E125" i="1"/>
  <c r="E3" i="6"/>
  <c r="D125" i="1"/>
  <c r="E2" i="6"/>
  <c r="M118" i="1"/>
  <c r="N118" i="1" s="1"/>
  <c r="I129" i="1"/>
  <c r="J7" i="6" s="1"/>
  <c r="D96" i="1" l="1"/>
  <c r="AA95" i="1"/>
  <c r="L126" i="1" s="1"/>
  <c r="M126" i="1" s="1"/>
  <c r="N126" i="1" s="1"/>
  <c r="M125" i="1"/>
  <c r="N125" i="1" s="1"/>
  <c r="H129" i="1"/>
  <c r="J6" i="6" s="1"/>
  <c r="I132" i="1"/>
  <c r="M7" i="6" s="1"/>
  <c r="D101" i="1" l="1"/>
  <c r="AA96" i="1"/>
  <c r="D133" i="1" s="1"/>
  <c r="H132" i="1"/>
  <c r="M6" i="6" s="1"/>
  <c r="J132" i="1"/>
  <c r="M8" i="6" s="1"/>
  <c r="J129" i="1"/>
  <c r="J8" i="6" s="1"/>
  <c r="AA91" i="1"/>
  <c r="D102" i="1" l="1"/>
  <c r="F132" i="1" s="1"/>
  <c r="M4" i="6" s="1"/>
  <c r="F129" i="1"/>
  <c r="J4" i="6" s="1"/>
  <c r="E129" i="1"/>
  <c r="J3" i="6" s="1"/>
  <c r="G129" i="1"/>
  <c r="J5" i="6" s="1"/>
  <c r="G132" i="1"/>
  <c r="M5" i="6" s="1"/>
  <c r="D129" i="1"/>
  <c r="J2" i="6" s="1"/>
  <c r="D132" i="1"/>
  <c r="M2" i="6" s="1"/>
  <c r="AA101" i="1"/>
  <c r="D103" i="1" s="1"/>
  <c r="AA102" i="1" l="1"/>
  <c r="D104" i="1" s="1"/>
  <c r="E132" i="1"/>
  <c r="M132" i="1" l="1"/>
  <c r="M3" i="6"/>
  <c r="D134" i="1" l="1"/>
  <c r="N134" i="1" s="1"/>
  <c r="L129" i="1"/>
  <c r="M129" i="1" s="1"/>
  <c r="N133" i="1"/>
  <c r="AF25" i="1"/>
  <c r="AF28" i="1" l="1"/>
  <c r="AF26" i="1"/>
  <c r="AF2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DELBERGUE Antoine</author>
    <author>François LEFEVRE</author>
    <author>FL</author>
  </authors>
  <commentList>
    <comment ref="A5" authorId="0" shapeId="0" xr:uid="{00000000-0006-0000-0100-000001000000}">
      <text>
        <r>
          <rPr>
            <b/>
            <sz val="9"/>
            <color indexed="81"/>
            <rFont val="Tahoma"/>
            <family val="2"/>
          </rPr>
          <t xml:space="preserve">ADEME </t>
        </r>
        <r>
          <rPr>
            <sz val="9"/>
            <color indexed="81"/>
            <rFont val="Tahoma"/>
            <charset val="1"/>
          </rPr>
          <t xml:space="preserve">: Se référer à l'annexe I pour les noms des volets
</t>
        </r>
      </text>
    </comment>
    <comment ref="C14" authorId="1" shapeId="0" xr:uid="{00000000-0006-0000-0100-000002000000}">
      <text>
        <r>
          <rPr>
            <sz val="9"/>
            <color indexed="81"/>
            <rFont val="Tahoma"/>
            <family val="2"/>
          </rPr>
          <t>C'est le code de coût standard de la colonne C de l'onglet "Barème 2022". En cas de problème d'affichage, assurez vous d'avoir bien saisi le nom de l'essence conformément au menu déroulant. Si ce n'est pas le cas, refaite la sélection depuis le menu.</t>
        </r>
      </text>
    </comment>
    <comment ref="AD37" authorId="2" shapeId="0" xr:uid="{00000000-0006-0000-0100-000003000000}">
      <text>
        <r>
          <rPr>
            <b/>
            <sz val="9"/>
            <color rgb="FF000000"/>
            <rFont val="Calibri1"/>
          </rPr>
          <t>MAA :</t>
        </r>
        <r>
          <rPr>
            <b/>
            <sz val="9"/>
            <color rgb="FF000000"/>
            <rFont val="Calibri1"/>
          </rPr>
          <t xml:space="preserve">
</t>
        </r>
        <r>
          <rPr>
            <sz val="9"/>
            <color rgb="FF000000"/>
            <rFont val="Calibri1"/>
          </rPr>
          <t>Surface des essences autres que l'essence principale de l'opération 1, divisée par la surface totale de l'opération 1</t>
        </r>
      </text>
    </comment>
    <comment ref="B38" authorId="2" shapeId="0" xr:uid="{00000000-0006-0000-0100-000004000000}">
      <text>
        <r>
          <rPr>
            <b/>
            <sz val="9"/>
            <color rgb="FF000000"/>
            <rFont val="Calibri1"/>
          </rPr>
          <t>MAA :</t>
        </r>
        <r>
          <rPr>
            <b/>
            <sz val="9"/>
            <color rgb="FF000000"/>
            <rFont val="Calibri1"/>
          </rPr>
          <t xml:space="preserve">
</t>
        </r>
        <r>
          <rPr>
            <sz val="9"/>
            <color rgb="FF000000"/>
            <rFont val="Calibri1"/>
          </rPr>
          <t>Saisir le code de la zone géographique concernée figurant dans la première ligne de l'annexe E (barème) : choix de A à E</t>
        </r>
      </text>
    </comment>
    <comment ref="D39" authorId="2" shapeId="0" xr:uid="{00000000-0006-0000-0100-000005000000}">
      <text>
        <r>
          <rPr>
            <b/>
            <sz val="9"/>
            <color rgb="FF000000"/>
            <rFont val="Calibri1"/>
          </rPr>
          <t>MAA :</t>
        </r>
        <r>
          <rPr>
            <b/>
            <sz val="9"/>
            <color rgb="FF000000"/>
            <rFont val="Calibri1"/>
          </rPr>
          <t xml:space="preserve">
</t>
        </r>
        <r>
          <rPr>
            <sz val="9"/>
            <color rgb="FF000000"/>
            <rFont val="Calibri1"/>
          </rPr>
          <t>Tranche de surface = surface totale de plantation sur barème du projet =&gt; voir surface totale sur barème</t>
        </r>
      </text>
    </comment>
    <comment ref="B70" authorId="2" shapeId="0" xr:uid="{00000000-0006-0000-0100-000006000000}">
      <text>
        <r>
          <rPr>
            <b/>
            <sz val="9"/>
            <color rgb="FF000000"/>
            <rFont val="Calibri1"/>
          </rPr>
          <t>MAA :</t>
        </r>
        <r>
          <rPr>
            <b/>
            <sz val="9"/>
            <color rgb="FF000000"/>
            <rFont val="Calibri1"/>
          </rPr>
          <t xml:space="preserve">
</t>
        </r>
        <r>
          <rPr>
            <sz val="9"/>
            <color rgb="FF000000"/>
            <rFont val="Calibri1"/>
          </rPr>
          <t>la surface de l'option est la surface totale des itinéraires ayant le même code d'option, que ce soit sur devis ou sur barème. La tranche de coût correspond à celle du barème de l'annexe E.</t>
        </r>
      </text>
    </comment>
    <comment ref="B72" authorId="0" shapeId="0" xr:uid="{00000000-0006-0000-0100-000007000000}">
      <text>
        <r>
          <rPr>
            <b/>
            <sz val="9"/>
            <color indexed="81"/>
            <rFont val="Tahoma"/>
            <family val="2"/>
          </rPr>
          <t>DELBERGUE Antoine:</t>
        </r>
        <r>
          <rPr>
            <sz val="9"/>
            <color indexed="81"/>
            <rFont val="Tahoma"/>
            <family val="2"/>
          </rPr>
          <t xml:space="preserve">
En enrichissement la protection périmètrale est compléter dans cette case</t>
        </r>
      </text>
    </comment>
    <comment ref="B85" authorId="2" shapeId="0" xr:uid="{00000000-0006-0000-0100-000008000000}">
      <text>
        <r>
          <rPr>
            <b/>
            <sz val="9"/>
            <color rgb="FF000000"/>
            <rFont val="Calibri1"/>
          </rPr>
          <t xml:space="preserve">ADEME :
</t>
        </r>
        <r>
          <rPr>
            <sz val="9"/>
            <color rgb="FF000000"/>
            <rFont val="Calibri1"/>
          </rPr>
          <t>Activé une seule fois sur l'ensemble du projet. Conformément au barème (annexe E), si le projet est &gt; 10 ha il n'y a pas de part fixe.</t>
        </r>
      </text>
    </comment>
    <comment ref="B86" authorId="2" shapeId="0" xr:uid="{00000000-0006-0000-0100-000009000000}">
      <text>
        <r>
          <rPr>
            <b/>
            <sz val="9"/>
            <color rgb="FF000000"/>
            <rFont val="Calibri1"/>
          </rPr>
          <t xml:space="preserve">ADEME :
</t>
        </r>
        <r>
          <rPr>
            <sz val="9"/>
            <color rgb="FF000000"/>
            <rFont val="Calibri1"/>
          </rPr>
          <t xml:space="preserve">selon le seuil de surface du projet : % des travaux principaux sans options : même assiette que ce soit barème ou coûts réels
</t>
        </r>
      </text>
    </comment>
    <comment ref="B90" authorId="2" shapeId="0" xr:uid="{00000000-0006-0000-0100-00000A000000}">
      <text>
        <r>
          <rPr>
            <b/>
            <sz val="9"/>
            <color rgb="FF000000"/>
            <rFont val="Calibri1"/>
          </rPr>
          <t xml:space="preserve">ADEME :
</t>
        </r>
        <r>
          <rPr>
            <sz val="9"/>
            <color rgb="FF000000"/>
            <rFont val="Calibri1"/>
          </rPr>
          <t>Le montant de MOE sur devis est réparti au prorata de la surface de chaque itinéraire sur devis. Idem pour la MOE sur barème.</t>
        </r>
      </text>
    </comment>
    <comment ref="A114" authorId="1" shapeId="0" xr:uid="{00000000-0006-0000-0100-00000B000000}">
      <text>
        <r>
          <rPr>
            <b/>
            <sz val="9"/>
            <color indexed="81"/>
            <rFont val="Tahoma"/>
            <family val="2"/>
          </rPr>
          <t>François LEFEVRE:</t>
        </r>
        <r>
          <rPr>
            <sz val="9"/>
            <color indexed="81"/>
            <rFont val="Tahoma"/>
            <family val="2"/>
          </rPr>
          <t xml:space="preserve">
non demandé dans le formulaire du GIP-ATGERI
</t>
        </r>
      </text>
    </comment>
    <comment ref="A115" authorId="1" shapeId="0" xr:uid="{00000000-0006-0000-0100-00000C000000}">
      <text>
        <r>
          <rPr>
            <b/>
            <sz val="9"/>
            <color indexed="81"/>
            <rFont val="Tahoma"/>
            <family val="2"/>
          </rPr>
          <t>François LEFEVRE:</t>
        </r>
        <r>
          <rPr>
            <sz val="9"/>
            <color indexed="81"/>
            <rFont val="Tahoma"/>
            <family val="2"/>
          </rPr>
          <t xml:space="preserve">
non demandé dans le formulaire du GIP-ATGERI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<sst xmlns="http://schemas.openxmlformats.org/spreadsheetml/2006/main" count="1002" uniqueCount="517">
  <si>
    <t xml:space="preserve">Annexe G demande d'aide </t>
  </si>
  <si>
    <t xml:space="preserve">Volet </t>
  </si>
  <si>
    <t>opération</t>
  </si>
  <si>
    <t>1a</t>
  </si>
  <si>
    <t>1b</t>
  </si>
  <si>
    <t>1c</t>
  </si>
  <si>
    <t>1d</t>
  </si>
  <si>
    <t>2a</t>
  </si>
  <si>
    <t>2b</t>
  </si>
  <si>
    <t>3a</t>
  </si>
  <si>
    <t>3b</t>
  </si>
  <si>
    <r>
      <rPr>
        <b/>
        <u/>
        <sz val="11"/>
        <color rgb="FFFF0000"/>
        <rFont val="Calibri"/>
        <family val="2"/>
      </rPr>
      <t>Attention</t>
    </r>
    <r>
      <rPr>
        <b/>
        <u/>
        <sz val="11"/>
        <color rgb="FF000000"/>
        <rFont val="Calibri"/>
        <family val="2"/>
      </rPr>
      <t xml:space="preserve"> une même colonne ne peut comporter qu'une seule modalité barême ou devis. Un Ilot correspond à un volet et une opération </t>
    </r>
  </si>
  <si>
    <t xml:space="preserve">N° de l'ilot </t>
  </si>
  <si>
    <t xml:space="preserve">numéro d'opération </t>
  </si>
  <si>
    <t>sapin pectiné</t>
  </si>
  <si>
    <t>pin laricio de Corse</t>
  </si>
  <si>
    <t>pin maritime (zone géo. C ou D)</t>
  </si>
  <si>
    <t>chêne sessile (rouvre)</t>
  </si>
  <si>
    <t xml:space="preserve">Code zone géographique -&gt; </t>
  </si>
  <si>
    <t>A</t>
  </si>
  <si>
    <t>B</t>
  </si>
  <si>
    <t>C</t>
  </si>
  <si>
    <t>D</t>
  </si>
  <si>
    <t>E</t>
  </si>
  <si>
    <r>
      <t xml:space="preserve">Plantation de résineux Landes de Gascogne
</t>
    </r>
    <r>
      <rPr>
        <b/>
        <sz val="11"/>
        <color theme="1"/>
        <rFont val="Calibri"/>
        <family val="2"/>
        <scheme val="minor"/>
      </rPr>
      <t>(SER F21)</t>
    </r>
  </si>
  <si>
    <t>Plantation de résineux Sud Charentes et Périgord
(SER F23, F15, F14)</t>
  </si>
  <si>
    <r>
      <t xml:space="preserve">Plantation toutes essences PLAINES
</t>
    </r>
    <r>
      <rPr>
        <b/>
        <sz val="11"/>
        <rFont val="Calibri"/>
        <family val="2"/>
        <scheme val="minor"/>
      </rPr>
      <t xml:space="preserve">Hors zones A </t>
    </r>
    <r>
      <rPr>
        <b/>
        <sz val="14"/>
        <rFont val="Calibri"/>
        <family val="2"/>
        <scheme val="minor"/>
      </rPr>
      <t xml:space="preserve">
</t>
    </r>
    <r>
      <rPr>
        <b/>
        <sz val="11"/>
        <rFont val="Calibri"/>
        <family val="2"/>
        <scheme val="minor"/>
      </rPr>
      <t>(GRECO A, B, C, F et L)</t>
    </r>
  </si>
  <si>
    <r>
      <t xml:space="preserve">Plantation toutes essences MONTAGNES
</t>
    </r>
    <r>
      <rPr>
        <b/>
        <sz val="11"/>
        <rFont val="Calibri"/>
        <family val="2"/>
        <scheme val="minor"/>
      </rPr>
      <t>(GRECO D, E, G, H, I et K)</t>
    </r>
  </si>
  <si>
    <r>
      <t xml:space="preserve">Plantation de peupliers
</t>
    </r>
    <r>
      <rPr>
        <b/>
        <sz val="11"/>
        <color theme="1"/>
        <rFont val="Calibri"/>
        <family val="2"/>
        <scheme val="minor"/>
      </rPr>
      <t>(GRECO A, B, C, F et L)</t>
    </r>
  </si>
  <si>
    <t>code</t>
  </si>
  <si>
    <t>&lt; 4 ha</t>
  </si>
  <si>
    <t>4-10 ha</t>
  </si>
  <si>
    <t>&gt;10 ha</t>
  </si>
  <si>
    <t>CS1</t>
  </si>
  <si>
    <t>Pin maritime, Pin taeda</t>
  </si>
  <si>
    <t>CS2</t>
  </si>
  <si>
    <t>Tous Pins</t>
  </si>
  <si>
    <t>CS3</t>
  </si>
  <si>
    <t>Sapins, Douglas, Epicéas, Mélèze d'Europe et du Japon et autres résineux</t>
  </si>
  <si>
    <t>CS4</t>
  </si>
  <si>
    <t>Cèdre, Mélèze hybride</t>
  </si>
  <si>
    <t>CS5</t>
  </si>
  <si>
    <t>Robinier</t>
  </si>
  <si>
    <t>CS6</t>
  </si>
  <si>
    <t>Hêtre, Chêne rouge, grands Erables et autres feuillus</t>
  </si>
  <si>
    <t>CS7</t>
  </si>
  <si>
    <t>Chênes sessile, pédonculé, pubescent et Châtaignier</t>
  </si>
  <si>
    <t>CS8</t>
  </si>
  <si>
    <t>Peuplier</t>
  </si>
  <si>
    <t>OP1</t>
  </si>
  <si>
    <t>Protection hylobe après plantation (uniquement résineux)</t>
  </si>
  <si>
    <t>OP2</t>
  </si>
  <si>
    <t>Répulsif anti-gibier</t>
  </si>
  <si>
    <t>OP3</t>
  </si>
  <si>
    <t>OP4</t>
  </si>
  <si>
    <t>MO</t>
  </si>
  <si>
    <t>1 500 € 
+ 16 %</t>
  </si>
  <si>
    <t>1 500 € + 16 %</t>
  </si>
  <si>
    <t>ESSENCES</t>
  </si>
  <si>
    <t>Code Standard</t>
  </si>
  <si>
    <t>alisier torminal</t>
  </si>
  <si>
    <t>aulne à feuilles en cœur</t>
  </si>
  <si>
    <t>aulne blanc</t>
  </si>
  <si>
    <t>aulne glutineux</t>
  </si>
  <si>
    <t>bouleau pubescent</t>
  </si>
  <si>
    <t>bouleau verruqueux</t>
  </si>
  <si>
    <t>cèdre de l’Atlas</t>
  </si>
  <si>
    <t>cèdre du Liban</t>
  </si>
  <si>
    <t>charme</t>
  </si>
  <si>
    <t>châtaignier</t>
  </si>
  <si>
    <t>chêne chevelu</t>
  </si>
  <si>
    <t>chêne liège</t>
  </si>
  <si>
    <t>chêne pédonculé</t>
  </si>
  <si>
    <t>chêne pubescent</t>
  </si>
  <si>
    <t>chêne rouge</t>
  </si>
  <si>
    <t>chêne vert</t>
  </si>
  <si>
    <t>cormier</t>
  </si>
  <si>
    <t>douglas vert</t>
  </si>
  <si>
    <t>épicéa commun</t>
  </si>
  <si>
    <t>épicéa de Sitka</t>
  </si>
  <si>
    <t>érable champêtre</t>
  </si>
  <si>
    <t>érable plane</t>
  </si>
  <si>
    <t>érable sycomore</t>
  </si>
  <si>
    <t>frêne commun</t>
  </si>
  <si>
    <t>hêtre</t>
  </si>
  <si>
    <t>mélèze d’Europe</t>
  </si>
  <si>
    <t>mélèze du Japon</t>
  </si>
  <si>
    <t>mélèze hybride</t>
  </si>
  <si>
    <t>merisier</t>
  </si>
  <si>
    <t>noyer hybride</t>
  </si>
  <si>
    <t>noyer noir</t>
  </si>
  <si>
    <t>noyer royal</t>
  </si>
  <si>
    <t>peuplier noir</t>
  </si>
  <si>
    <t>peuplier Albelo</t>
  </si>
  <si>
    <t>peuplier Dano</t>
  </si>
  <si>
    <t>peuplier Diva</t>
  </si>
  <si>
    <t>peuplier I 214</t>
  </si>
  <si>
    <t>peuplier I 45 - 51</t>
  </si>
  <si>
    <t>peuplier Koster</t>
  </si>
  <si>
    <t>peuplier Polargo</t>
  </si>
  <si>
    <t>peuplier Rona</t>
  </si>
  <si>
    <t>peuplier Soligo</t>
  </si>
  <si>
    <t>peuplier Trichobel</t>
  </si>
  <si>
    <t>peuplier Tucano</t>
  </si>
  <si>
    <t>peuplier Vesten</t>
  </si>
  <si>
    <t>peuplier (autres hybrides clonaux)</t>
  </si>
  <si>
    <t>pin brutia</t>
  </si>
  <si>
    <t>pin cembro</t>
  </si>
  <si>
    <t>pin d’Alep</t>
  </si>
  <si>
    <t>pin de Monterey</t>
  </si>
  <si>
    <t>pin de Salzmann</t>
  </si>
  <si>
    <t>pin laricio de Calabre</t>
  </si>
  <si>
    <t>pin maritime (zone géo. A ou B)</t>
  </si>
  <si>
    <t>pin noir d’Autriche</t>
  </si>
  <si>
    <t>pin pignon</t>
  </si>
  <si>
    <t>pin sylvestre</t>
  </si>
  <si>
    <t>pin taeda ou à encens (zone géo. A ou B)</t>
  </si>
  <si>
    <t>pin taeda ou à encens (zone géo. C ou D)</t>
  </si>
  <si>
    <t>robinier faux-acacia</t>
  </si>
  <si>
    <t>sapin de Céphalonie</t>
  </si>
  <si>
    <t>sapin de Turquie</t>
  </si>
  <si>
    <t>sapin de Vancouver</t>
  </si>
  <si>
    <t>sapin pinsapo</t>
  </si>
  <si>
    <t>tilleul à grandes feuilles</t>
  </si>
  <si>
    <t>tilleul à petites feuilles</t>
  </si>
  <si>
    <t>tremble</t>
  </si>
  <si>
    <t>autre feuillu</t>
  </si>
  <si>
    <t>autre résineux</t>
  </si>
  <si>
    <t>totaux</t>
  </si>
  <si>
    <t>ss total barème</t>
  </si>
  <si>
    <t>ss total devis</t>
  </si>
  <si>
    <t>Zone géographique du barème</t>
  </si>
  <si>
    <t>Tranche de surface</t>
  </si>
  <si>
    <t>montants calculés par coûts standards (CS) du barème (€)</t>
  </si>
  <si>
    <t>Coût devis €/ha</t>
  </si>
  <si>
    <t>Montant éligible devis</t>
  </si>
  <si>
    <t>Montant total ELIGIBLE</t>
  </si>
  <si>
    <r>
      <t xml:space="preserve">Protection gibier
(hors zones A et B ; hors zone E pour OP2)
</t>
    </r>
    <r>
      <rPr>
        <b/>
        <u/>
        <sz val="11"/>
        <color rgb="FFFF0000"/>
        <rFont val="Calibri"/>
        <family val="2"/>
      </rPr>
      <t>ATTENTION !</t>
    </r>
    <r>
      <rPr>
        <u/>
        <sz val="11"/>
        <color rgb="FFFF0000"/>
        <rFont val="Calibri"/>
        <family val="2"/>
      </rPr>
      <t xml:space="preserve"> Le code barème est à renseigner aussi pour les devis afin de calculer leur plafond</t>
    </r>
  </si>
  <si>
    <t>surface de l'option par itinéraire (ha)</t>
  </si>
  <si>
    <t>Tranche de surface de chaque option</t>
  </si>
  <si>
    <t>Montant éligible devis après plafond</t>
  </si>
  <si>
    <t>Montant ELIGIGIBLE après plafond</t>
  </si>
  <si>
    <t>Hylobe (hors zones A, B et E)</t>
  </si>
  <si>
    <t>surface de l'option</t>
  </si>
  <si>
    <t>Part fixe 1500 € si surface totale &lt;10ha</t>
  </si>
  <si>
    <t>Taux barème (%) = plafond pour devis</t>
  </si>
  <si>
    <t>Montant pour surfaces sur devis</t>
  </si>
  <si>
    <t>Plafond pour surfaces sur devis</t>
  </si>
  <si>
    <t>prorata surface sur devis</t>
  </si>
  <si>
    <t>Taux de subvention</t>
  </si>
  <si>
    <t>Montant total reste à charge</t>
  </si>
  <si>
    <t>Tableau pour renseigner le formulaire de demande d'aide en ligne du GIP-ATGERI</t>
  </si>
  <si>
    <t>Libellé VOLET</t>
  </si>
  <si>
    <t>total</t>
  </si>
  <si>
    <t>coût/ha</t>
  </si>
  <si>
    <t>Numéro volet</t>
  </si>
  <si>
    <t>DEPENSES PREVISIONNELLES CALCULEES SUR BAREME</t>
  </si>
  <si>
    <t>€/ha</t>
  </si>
  <si>
    <t>Montant de la maitrise d'oeuvre sur barème</t>
  </si>
  <si>
    <t>DEPENSES PREVISIONNELLES CALCULEES SUR DEVIS-FACTURES</t>
  </si>
  <si>
    <t>Surface demandée au  titre de devis-facture</t>
  </si>
  <si>
    <t>Montant des dépenses de travaux principaux sur devis-facture
(dont dépenses de personnel)</t>
  </si>
  <si>
    <t>Montant des travaux connexes (protection contre le gibier) calculé sur devis-facture</t>
  </si>
  <si>
    <t>Montant de la maitrise d'oeuvre sur devis-facture</t>
  </si>
  <si>
    <t>MONTANT TOTAL DES DEPENSES</t>
  </si>
  <si>
    <t>Total des dépenses sur barème et devis</t>
  </si>
  <si>
    <t>PLAN DE FINANCEMENT</t>
  </si>
  <si>
    <t>Autofinancement (ne doit pas être négatif)</t>
  </si>
  <si>
    <t>Montant calculé des dépenses</t>
  </si>
  <si>
    <t>zone Geographique</t>
  </si>
  <si>
    <t>tvx principaux</t>
  </si>
  <si>
    <t>CS1A &lt; 4ha</t>
  </si>
  <si>
    <t>CS3C &lt; 4ha</t>
  </si>
  <si>
    <t>CS4C &lt; 4ha</t>
  </si>
  <si>
    <t>CS5C &lt; 4ha</t>
  </si>
  <si>
    <t>CS6C &lt; 4ha</t>
  </si>
  <si>
    <t>CS7C &lt; 4ha</t>
  </si>
  <si>
    <t>CS8E &lt; 4ha</t>
  </si>
  <si>
    <t>CS1B &lt; 4ha</t>
  </si>
  <si>
    <t>CS2D &lt; 4ha</t>
  </si>
  <si>
    <t>CS3D &lt; 4ha</t>
  </si>
  <si>
    <t>CS4D &lt; 4ha</t>
  </si>
  <si>
    <t>CS5D &lt; 4ha</t>
  </si>
  <si>
    <t>CS6D &lt; 4ha</t>
  </si>
  <si>
    <t>CS7D &lt; 4ha</t>
  </si>
  <si>
    <t>CS1A 4-10ha</t>
  </si>
  <si>
    <t>CS2C 4-10ha</t>
  </si>
  <si>
    <t>CS3C 4-10ha</t>
  </si>
  <si>
    <t>CS4C 4-10ha</t>
  </si>
  <si>
    <t>CS5C 4-10ha</t>
  </si>
  <si>
    <t>CS6C 4-10ha</t>
  </si>
  <si>
    <t>CS7C 4-10ha</t>
  </si>
  <si>
    <t>CS8E 4-10ha</t>
  </si>
  <si>
    <t>CS1B 4-10ha</t>
  </si>
  <si>
    <t>CS2D 4-10ha</t>
  </si>
  <si>
    <t>CS3D 4-10ha</t>
  </si>
  <si>
    <t>CS4D 4-10ha</t>
  </si>
  <si>
    <t>CS5D 4-10ha</t>
  </si>
  <si>
    <t>CS6D 4-10ha</t>
  </si>
  <si>
    <t>CS7D 4-10ha</t>
  </si>
  <si>
    <t>CS1A &gt; 10ha</t>
  </si>
  <si>
    <t>CS2C &gt; 10ha</t>
  </si>
  <si>
    <t>CS3C &gt; 10ha</t>
  </si>
  <si>
    <t>CS4C &gt; 10ha</t>
  </si>
  <si>
    <t>CS5C &gt; 10ha</t>
  </si>
  <si>
    <t>CS6C &gt; 10ha</t>
  </si>
  <si>
    <t>CS7C &gt; 10ha</t>
  </si>
  <si>
    <t>CS8E &gt; 10ha</t>
  </si>
  <si>
    <t>CS1B &gt; 10ha</t>
  </si>
  <si>
    <t>CS2D &gt; 10ha</t>
  </si>
  <si>
    <t>CS3D &gt; 10ha</t>
  </si>
  <si>
    <t>CS4D &gt; 10ha</t>
  </si>
  <si>
    <t>CS5D &gt; 10ha</t>
  </si>
  <si>
    <t>CS6D &gt; 10ha</t>
  </si>
  <si>
    <t>CS7D &gt; 10ha</t>
  </si>
  <si>
    <t>Surface du projet -&gt;</t>
  </si>
  <si>
    <r>
      <t xml:space="preserve">Barème travaux principaux en €/ha </t>
    </r>
    <r>
      <rPr>
        <sz val="14"/>
        <color theme="1"/>
        <rFont val="Calibri"/>
        <family val="2"/>
        <scheme val="minor"/>
      </rPr>
      <t>(préparation, plants et plantation, premiers entretiens)</t>
    </r>
  </si>
  <si>
    <t>Surface concernée par l'option -&gt;</t>
  </si>
  <si>
    <t>Options  (en €/ha)</t>
  </si>
  <si>
    <t>OPH1</t>
  </si>
  <si>
    <t>OPR2</t>
  </si>
  <si>
    <t>OPI3</t>
  </si>
  <si>
    <r>
      <t>Protections individuelles anti-gibier (</t>
    </r>
    <r>
      <rPr>
        <sz val="14"/>
        <color theme="1"/>
        <rFont val="Calibri"/>
        <family val="2"/>
      </rPr>
      <t>≥</t>
    </r>
    <r>
      <rPr>
        <sz val="14"/>
        <color theme="1"/>
        <rFont val="Calibri"/>
        <family val="2"/>
        <scheme val="minor"/>
      </rPr>
      <t>1,20m)* ou d'un coût équivalent</t>
    </r>
  </si>
  <si>
    <t>OPC4</t>
  </si>
  <si>
    <t>Clôture périmétrale anti-gibier ( ≥ 1,8 m)**</t>
  </si>
  <si>
    <t>Maîtrise d'œuvre*** (14% pour projets &gt; 20ha)</t>
  </si>
  <si>
    <t>1 500 € 
+ 18 %</t>
  </si>
  <si>
    <t>*Protection de tous les plants. Proratisation possible à la surface de l'option</t>
  </si>
  <si>
    <t>** coût standard défini sur une tranche de surface de 2 à 4ha pour la catégorie &lt; 4 ha</t>
  </si>
  <si>
    <t>***forfait de 1 500 euros applicable à l'ensemble de la demande</t>
  </si>
  <si>
    <t>Barème plantation en plein France 2030 (avec 3 entretiens)</t>
  </si>
  <si>
    <t>CS1A</t>
  </si>
  <si>
    <t>CS1B</t>
  </si>
  <si>
    <t>CS3C</t>
  </si>
  <si>
    <t>CS4D</t>
  </si>
  <si>
    <t>CS4C</t>
  </si>
  <si>
    <t>CS5C</t>
  </si>
  <si>
    <t>CS6C</t>
  </si>
  <si>
    <t>CS7C</t>
  </si>
  <si>
    <t>CS2D</t>
  </si>
  <si>
    <t>CS3D</t>
  </si>
  <si>
    <t>CS5D</t>
  </si>
  <si>
    <t>CS6D</t>
  </si>
  <si>
    <t>CS7D</t>
  </si>
  <si>
    <t>CS8E</t>
  </si>
  <si>
    <t>4-10ha</t>
  </si>
  <si>
    <t>&lt;4ha</t>
  </si>
  <si>
    <t>&gt;10ha</t>
  </si>
  <si>
    <t xml:space="preserve">Code zone géographique du barème en plein -&gt; </t>
  </si>
  <si>
    <t>Nombre minimum de plants par placeau et ratios</t>
  </si>
  <si>
    <t>A, B, C</t>
  </si>
  <si>
    <r>
      <t>Barème enrichissement France 2030</t>
    </r>
    <r>
      <rPr>
        <sz val="12"/>
        <color theme="1"/>
        <rFont val="Calibri"/>
        <family val="2"/>
        <scheme val="minor"/>
      </rPr>
      <t xml:space="preserve"> </t>
    </r>
    <r>
      <rPr>
        <b/>
        <sz val="18"/>
        <color theme="1"/>
        <rFont val="Calibri"/>
        <family val="2"/>
        <scheme val="minor"/>
      </rPr>
      <t xml:space="preserve">: coûts standards par placeau selon 2 tailles, hors cloisonnement </t>
    </r>
    <r>
      <rPr>
        <sz val="12"/>
        <color theme="1"/>
        <rFont val="Calibri"/>
        <family val="2"/>
        <scheme val="minor"/>
      </rPr>
      <t>(cf. Options)</t>
    </r>
    <r>
      <rPr>
        <b/>
        <sz val="18"/>
        <color theme="1"/>
        <rFont val="Calibri"/>
        <family val="2"/>
        <scheme val="minor"/>
      </rPr>
      <t xml:space="preserve">
</t>
    </r>
    <r>
      <rPr>
        <sz val="12"/>
        <color theme="1"/>
        <rFont val="Calibri"/>
        <family val="2"/>
        <scheme val="minor"/>
      </rPr>
      <t>(coûts établis par application d'un ratio à chacun des coûts standards du barème en plein)</t>
    </r>
  </si>
  <si>
    <t>Plantation toutes essences</t>
  </si>
  <si>
    <r>
      <t xml:space="preserve">PLAINE
</t>
    </r>
    <r>
      <rPr>
        <b/>
        <sz val="14"/>
        <rFont val="Calibri"/>
        <family val="2"/>
        <scheme val="minor"/>
      </rPr>
      <t xml:space="preserve">
</t>
    </r>
    <r>
      <rPr>
        <b/>
        <sz val="11"/>
        <rFont val="Calibri"/>
        <family val="2"/>
        <scheme val="minor"/>
      </rPr>
      <t>(GRECO A, B, C, F et L)</t>
    </r>
  </si>
  <si>
    <r>
      <t xml:space="preserve">MONTAGNE
</t>
    </r>
    <r>
      <rPr>
        <b/>
        <sz val="11"/>
        <rFont val="Calibri"/>
        <family val="2"/>
        <scheme val="minor"/>
      </rPr>
      <t>(GRECO D, E, G, H, I et K)</t>
    </r>
  </si>
  <si>
    <r>
      <t xml:space="preserve">Barème travaux principaux en € par placeau 
</t>
    </r>
    <r>
      <rPr>
        <sz val="14"/>
        <color theme="1"/>
        <rFont val="Calibri"/>
        <family val="2"/>
        <scheme val="minor"/>
      </rPr>
      <t>(préparation, plants et plantation, 3 entretiens)</t>
    </r>
  </si>
  <si>
    <t>travaux principaux accessoires</t>
  </si>
  <si>
    <t>CLOIST</t>
  </si>
  <si>
    <r>
      <t>Cloisonnement 4m de large  (</t>
    </r>
    <r>
      <rPr>
        <b/>
        <sz val="14"/>
        <color theme="1"/>
        <rFont val="Calibri"/>
        <family val="2"/>
        <scheme val="minor"/>
      </rPr>
      <t>en €/m de long</t>
    </r>
    <r>
      <rPr>
        <sz val="14"/>
        <color theme="1"/>
        <rFont val="Calibri"/>
        <family val="2"/>
        <scheme val="minor"/>
      </rPr>
      <t>)</t>
    </r>
  </si>
  <si>
    <r>
      <t xml:space="preserve">Options 
</t>
    </r>
    <r>
      <rPr>
        <sz val="14"/>
        <color theme="1"/>
        <rFont val="Calibri"/>
        <family val="2"/>
        <scheme val="minor"/>
      </rPr>
      <t>(pour l'option cloisonnement : ouverture et 3 entretiens)</t>
    </r>
  </si>
  <si>
    <r>
      <t>Protection hylobe après plantation (uniquement résineux) (</t>
    </r>
    <r>
      <rPr>
        <b/>
        <sz val="14"/>
        <color theme="1"/>
        <rFont val="Calibri"/>
        <family val="2"/>
        <scheme val="minor"/>
      </rPr>
      <t>en €/placeau</t>
    </r>
    <r>
      <rPr>
        <sz val="14"/>
        <color theme="1"/>
        <rFont val="Calibri"/>
        <family val="2"/>
        <scheme val="minor"/>
      </rPr>
      <t>)</t>
    </r>
  </si>
  <si>
    <r>
      <t>Répulsif anti-gibier (</t>
    </r>
    <r>
      <rPr>
        <b/>
        <sz val="14"/>
        <color theme="1"/>
        <rFont val="Calibri"/>
        <family val="2"/>
        <scheme val="minor"/>
      </rPr>
      <t>en €/placeau</t>
    </r>
    <r>
      <rPr>
        <sz val="14"/>
        <color theme="1"/>
        <rFont val="Calibri"/>
        <family val="2"/>
        <scheme val="minor"/>
      </rPr>
      <t>)</t>
    </r>
  </si>
  <si>
    <r>
      <t>Protections individuelles anti-gibier (</t>
    </r>
    <r>
      <rPr>
        <sz val="14"/>
        <color theme="1"/>
        <rFont val="Calibri"/>
        <family val="2"/>
      </rPr>
      <t>≥</t>
    </r>
    <r>
      <rPr>
        <sz val="14"/>
        <color theme="1"/>
        <rFont val="Calibri"/>
        <family val="2"/>
        <scheme val="minor"/>
      </rPr>
      <t>1,20m)* ou d'un coût équivalent  (</t>
    </r>
    <r>
      <rPr>
        <b/>
        <sz val="14"/>
        <color theme="1"/>
        <rFont val="Calibri"/>
        <family val="2"/>
        <scheme val="minor"/>
      </rPr>
      <t>en €/placeau</t>
    </r>
    <r>
      <rPr>
        <sz val="14"/>
        <color theme="1"/>
        <rFont val="Calibri"/>
        <family val="2"/>
        <scheme val="minor"/>
      </rPr>
      <t>)</t>
    </r>
  </si>
  <si>
    <r>
      <t>Clôture anti-gibier ( ≥ 1,8 m) sur le périmètre enrichi** (</t>
    </r>
    <r>
      <rPr>
        <b/>
        <sz val="14"/>
        <color theme="1"/>
        <rFont val="Calibri"/>
        <family val="2"/>
        <scheme val="minor"/>
      </rPr>
      <t>en €/ha</t>
    </r>
    <r>
      <rPr>
        <sz val="14"/>
        <color theme="1"/>
        <rFont val="Calibri"/>
        <family val="2"/>
        <scheme val="minor"/>
      </rPr>
      <t>),</t>
    </r>
    <r>
      <rPr>
        <b/>
        <sz val="14"/>
        <color theme="1"/>
        <rFont val="Calibri"/>
        <family val="2"/>
        <scheme val="minor"/>
      </rPr>
      <t xml:space="preserve"> uniquement à partir de 80 placeaux/ha et 16 plants/placeau</t>
    </r>
  </si>
  <si>
    <t>1 500 € + 18 %</t>
  </si>
  <si>
    <r>
      <t>Travaux principaux hors options (</t>
    </r>
    <r>
      <rPr>
        <b/>
        <sz val="11"/>
        <color rgb="FFFF0000"/>
        <rFont val="Calibri"/>
        <family val="2"/>
      </rPr>
      <t>plantation en plein</t>
    </r>
    <r>
      <rPr>
        <b/>
        <sz val="11"/>
        <color rgb="FF000000"/>
        <rFont val="Calibri"/>
        <family val="2"/>
      </rPr>
      <t>)</t>
    </r>
  </si>
  <si>
    <t>Données du barème en plein  7077</t>
  </si>
  <si>
    <t>ABC</t>
  </si>
  <si>
    <t>CS2A 4-10ha</t>
  </si>
  <si>
    <t>CS3A 4-10ha</t>
  </si>
  <si>
    <t>CS4A 4-10ha</t>
  </si>
  <si>
    <t>CS5A 4-10ha</t>
  </si>
  <si>
    <t>CS6A 4-10ha</t>
  </si>
  <si>
    <t>CS7A 4-10ha</t>
  </si>
  <si>
    <t>CS2B 4-10ha</t>
  </si>
  <si>
    <t>CS3B 4-10ha</t>
  </si>
  <si>
    <t>CS4B 4-10ha</t>
  </si>
  <si>
    <t>CS5B 4-10ha</t>
  </si>
  <si>
    <t>CS6B 4-10ha</t>
  </si>
  <si>
    <t>CS7B 4-10ha</t>
  </si>
  <si>
    <t>2f</t>
  </si>
  <si>
    <t>2s</t>
  </si>
  <si>
    <t>Donnée enrichissement 16</t>
  </si>
  <si>
    <t>Donnée enrichissement9</t>
  </si>
  <si>
    <r>
      <t>Travaux principaux hors options (</t>
    </r>
    <r>
      <rPr>
        <b/>
        <sz val="11"/>
        <color rgb="FFFF0000"/>
        <rFont val="Calibri"/>
        <family val="2"/>
      </rPr>
      <t>enrichissement 16 plants</t>
    </r>
    <r>
      <rPr>
        <b/>
        <sz val="11"/>
        <color rgb="FF000000"/>
        <rFont val="Calibri"/>
        <family val="2"/>
      </rPr>
      <t>)</t>
    </r>
  </si>
  <si>
    <r>
      <t>Travaux principaux hors options (</t>
    </r>
    <r>
      <rPr>
        <b/>
        <sz val="11"/>
        <color rgb="FFFF0000"/>
        <rFont val="Calibri"/>
        <family val="2"/>
        <scheme val="minor"/>
      </rPr>
      <t>enrichissement 9 plants</t>
    </r>
    <r>
      <rPr>
        <b/>
        <sz val="11"/>
        <color theme="1"/>
        <rFont val="Calibri"/>
        <family val="2"/>
        <scheme val="minor"/>
      </rPr>
      <t>)</t>
    </r>
  </si>
  <si>
    <t>Option b</t>
  </si>
  <si>
    <t>Options</t>
  </si>
  <si>
    <t>Critère faire filière</t>
  </si>
  <si>
    <t xml:space="preserve">Valeur taux </t>
  </si>
  <si>
    <t>volet 1</t>
  </si>
  <si>
    <t>volet 2</t>
  </si>
  <si>
    <t>volet 3</t>
  </si>
  <si>
    <t>clasique</t>
  </si>
  <si>
    <t>Pefc</t>
  </si>
  <si>
    <t>Faire filière</t>
  </si>
  <si>
    <t>oui</t>
  </si>
  <si>
    <t>non</t>
  </si>
  <si>
    <t>Certification PEFC/FSC/Autre</t>
  </si>
  <si>
    <t>Bonification Faire filière</t>
  </si>
  <si>
    <t>Bonification PEFC/FSC/Autre</t>
  </si>
  <si>
    <t>Taux de subvention global</t>
  </si>
  <si>
    <t>travaux principaux accessoires cloisonnement</t>
  </si>
  <si>
    <t>Maîtrise d'Oeuvre (MOE)
(maximum 14% au dessus de 20 ha de surface totale)</t>
  </si>
  <si>
    <r>
      <t>Coût barème</t>
    </r>
    <r>
      <rPr>
        <b/>
        <sz val="11"/>
        <color theme="4"/>
        <rFont val="Calibri"/>
        <family val="2"/>
      </rPr>
      <t xml:space="preserve">(plantation en plein) </t>
    </r>
    <r>
      <rPr>
        <sz val="11"/>
        <color rgb="FF000000"/>
        <rFont val="Calibri"/>
        <family val="2"/>
      </rPr>
      <t>€/ha = coût plafond devis</t>
    </r>
  </si>
  <si>
    <t>option en plein</t>
  </si>
  <si>
    <t>option Enrichissement9</t>
  </si>
  <si>
    <t>option Enrichissement16</t>
  </si>
  <si>
    <t>COP1&lt; 4ha</t>
  </si>
  <si>
    <t>COP24-10ha</t>
  </si>
  <si>
    <t>COP2&lt; 4ha</t>
  </si>
  <si>
    <t>COP2&gt;10ha</t>
  </si>
  <si>
    <t>DOP2&lt; 4ha</t>
  </si>
  <si>
    <t>DOP24-10ha</t>
  </si>
  <si>
    <t>DOP2&gt; 10ha</t>
  </si>
  <si>
    <t>COP3&lt; 4ha</t>
  </si>
  <si>
    <t>COP34-10ha</t>
  </si>
  <si>
    <t>COP3&gt; 10ha</t>
  </si>
  <si>
    <t>DOP3&lt; 4ha</t>
  </si>
  <si>
    <t>DOP34-10ha</t>
  </si>
  <si>
    <t>DOP3&gt; 10ha</t>
  </si>
  <si>
    <t>EOP3&lt; 4ha</t>
  </si>
  <si>
    <t>EOP34-10ha</t>
  </si>
  <si>
    <t>EOP3&gt; 10ha</t>
  </si>
  <si>
    <t>COP4&lt; 4ha</t>
  </si>
  <si>
    <t>COP44-10ha</t>
  </si>
  <si>
    <t>COP4&gt; 10ha</t>
  </si>
  <si>
    <t>DOP4&lt; 4ha</t>
  </si>
  <si>
    <t>DOP44-10ha</t>
  </si>
  <si>
    <t>DOP4&gt; 10ha</t>
  </si>
  <si>
    <t>EOP4&lt; 4ha</t>
  </si>
  <si>
    <t>EOP44-10ha</t>
  </si>
  <si>
    <t>EOP4&gt; 10ha</t>
  </si>
  <si>
    <t>DOP1&gt;10ha</t>
  </si>
  <si>
    <t>DOP14-10ha</t>
  </si>
  <si>
    <t>DOP1&lt; 4ha</t>
  </si>
  <si>
    <t>COP1&gt; 10ha</t>
  </si>
  <si>
    <t>COP14-10ha</t>
  </si>
  <si>
    <t>Nombre de plant par placeau</t>
  </si>
  <si>
    <t>AOP24-10ha</t>
  </si>
  <si>
    <t>AOP2&gt; 10ha</t>
  </si>
  <si>
    <t>AOP3&lt; 4ha</t>
  </si>
  <si>
    <t>AOP34-10ha</t>
  </si>
  <si>
    <t>AOP3&gt; 10ha</t>
  </si>
  <si>
    <t>AOP4&lt; 4ha</t>
  </si>
  <si>
    <t>AOP44-10ha</t>
  </si>
  <si>
    <t>AOP4&gt; 10ha</t>
  </si>
  <si>
    <t>BOP4&lt; 4ha</t>
  </si>
  <si>
    <t>BOP44-10ha</t>
  </si>
  <si>
    <t>BOP4&gt; 10ha</t>
  </si>
  <si>
    <t>BOP24-10ha</t>
  </si>
  <si>
    <t>BOP2&gt; 10ha</t>
  </si>
  <si>
    <t>BOP3&lt; 4ha</t>
  </si>
  <si>
    <t>BOP34-10ha</t>
  </si>
  <si>
    <t>BOP3&gt; 10ha</t>
  </si>
  <si>
    <t>AOP1 4-10ha</t>
  </si>
  <si>
    <t>COP2&gt; 10ha</t>
  </si>
  <si>
    <t>BOP1&gt; 10ha</t>
  </si>
  <si>
    <t>BOP14-10ha</t>
  </si>
  <si>
    <t>AOP1&gt; 10ha</t>
  </si>
  <si>
    <t>BOP2&lt;4ha</t>
  </si>
  <si>
    <t>DOP1&gt; 10ha</t>
  </si>
  <si>
    <t>DOP2&lt;4ha</t>
  </si>
  <si>
    <r>
      <t>Coût barème(enrichissement9)</t>
    </r>
    <r>
      <rPr>
        <b/>
        <sz val="11"/>
        <color rgb="FF000000"/>
        <rFont val="Calibri"/>
        <family val="2"/>
      </rPr>
      <t xml:space="preserve"> €/placeau=</t>
    </r>
    <r>
      <rPr>
        <sz val="11"/>
        <color rgb="FF000000"/>
        <rFont val="Calibri"/>
        <family val="2"/>
      </rPr>
      <t xml:space="preserve"> coût plafond</t>
    </r>
  </si>
  <si>
    <r>
      <t>Coût barème(enrichissement16)</t>
    </r>
    <r>
      <rPr>
        <b/>
        <sz val="11"/>
        <color rgb="FF000000"/>
        <rFont val="Calibri"/>
        <family val="2"/>
      </rPr>
      <t xml:space="preserve"> €/placeau=</t>
    </r>
    <r>
      <rPr>
        <sz val="11"/>
        <color rgb="FF000000"/>
        <rFont val="Calibri"/>
        <family val="2"/>
      </rPr>
      <t xml:space="preserve"> coût plafond</t>
    </r>
  </si>
  <si>
    <t>montants calculés par coûts standards (CS) du barème (€/placeau)</t>
  </si>
  <si>
    <t>Nombre de placeau/ha</t>
  </si>
  <si>
    <r>
      <t>Coût barème(enrichissement16)</t>
    </r>
    <r>
      <rPr>
        <b/>
        <sz val="11"/>
        <color rgb="FF000000"/>
        <rFont val="Calibri"/>
        <family val="2"/>
      </rPr>
      <t xml:space="preserve"> €/placeau</t>
    </r>
  </si>
  <si>
    <t>Coût barème en plein  €/ha</t>
  </si>
  <si>
    <t>AOP14-10ha</t>
  </si>
  <si>
    <r>
      <t>Coût barème(enrichissement9)</t>
    </r>
    <r>
      <rPr>
        <b/>
        <sz val="11"/>
        <color rgb="FF000000"/>
        <rFont val="Calibri"/>
        <family val="2"/>
      </rPr>
      <t xml:space="preserve"> €/placeau</t>
    </r>
  </si>
  <si>
    <t>AOP1&lt; 4ha</t>
  </si>
  <si>
    <t>BOP1&lt; 4ha</t>
  </si>
  <si>
    <t>Montant  ELIGIBLE</t>
  </si>
  <si>
    <t>Cloisonnemennt</t>
  </si>
  <si>
    <t>A&lt;4ha</t>
  </si>
  <si>
    <t>B&lt;4ha</t>
  </si>
  <si>
    <t>C&lt;4ha</t>
  </si>
  <si>
    <t>D&lt;4ha</t>
  </si>
  <si>
    <t>A4-10ha</t>
  </si>
  <si>
    <t>B4-10ha</t>
  </si>
  <si>
    <t>D4-10ha</t>
  </si>
  <si>
    <t>C4-10ha</t>
  </si>
  <si>
    <t>CS2A &gt; 10ha</t>
  </si>
  <si>
    <t>CS3A &gt; 10ha</t>
  </si>
  <si>
    <t>CS4A &gt; 10ha</t>
  </si>
  <si>
    <t>CS6A &gt; 10ha</t>
  </si>
  <si>
    <t>CS7A &gt; 10ha</t>
  </si>
  <si>
    <t>CS2B &gt; 10ha</t>
  </si>
  <si>
    <t>CS3B &gt; 10ha</t>
  </si>
  <si>
    <t>CS4B &gt; 10ha</t>
  </si>
  <si>
    <t>CS5B &gt; 10ha</t>
  </si>
  <si>
    <t>CS6B &gt; 10ha</t>
  </si>
  <si>
    <t>CS7B &gt; 10ha</t>
  </si>
  <si>
    <t>CS5A,&gt; 10ha</t>
  </si>
  <si>
    <t>CS2A &lt; 4ha</t>
  </si>
  <si>
    <t>CS3A &lt; 4ha</t>
  </si>
  <si>
    <t>CS4A &lt; 4ha</t>
  </si>
  <si>
    <t>CS5A &lt; 4ha</t>
  </si>
  <si>
    <t>CS6A &lt; 4ha</t>
  </si>
  <si>
    <t>CS7A &lt; 4ha</t>
  </si>
  <si>
    <t>CS6B &lt; 4ha</t>
  </si>
  <si>
    <t>CS2B &lt; 4ha</t>
  </si>
  <si>
    <t>CS3B &lt; 4ha</t>
  </si>
  <si>
    <t>CS4B &lt; 4ha</t>
  </si>
  <si>
    <t>CS5B &lt; 4ha</t>
  </si>
  <si>
    <t>CS7B &lt; 4ha</t>
  </si>
  <si>
    <t>CS2C &lt; 4ha</t>
  </si>
  <si>
    <t>D&gt; 10ha</t>
  </si>
  <si>
    <t>C&gt; 10ha</t>
  </si>
  <si>
    <t>B&gt; 10ha</t>
  </si>
  <si>
    <t>A&gt; 10ha</t>
  </si>
  <si>
    <t>AOP2&lt; 4ha</t>
  </si>
  <si>
    <t xml:space="preserve">Montant dépenses protection gibier sur barème en plein </t>
  </si>
  <si>
    <t>Peuplements d'épicéas
scolytés</t>
  </si>
  <si>
    <t>Peuplements incendiées</t>
  </si>
  <si>
    <t>Peuplements
sinistrées</t>
  </si>
  <si>
    <t>Peuplements en echec de plantation</t>
  </si>
  <si>
    <t>Peuplements vulnérables</t>
  </si>
  <si>
    <t>Peuplements dépérissants et vulnérables</t>
  </si>
  <si>
    <t>ADEME</t>
  </si>
  <si>
    <t>Surface demandée au titre du barème (ha)</t>
  </si>
  <si>
    <t>Surface de ténement</t>
  </si>
  <si>
    <t>T1</t>
  </si>
  <si>
    <t>Eléments écologiques</t>
  </si>
  <si>
    <t>T2</t>
  </si>
  <si>
    <t>T3</t>
  </si>
  <si>
    <t>T4</t>
  </si>
  <si>
    <t>T5</t>
  </si>
  <si>
    <t>T6</t>
  </si>
  <si>
    <t>T7</t>
  </si>
  <si>
    <t>T8</t>
  </si>
  <si>
    <t>T9</t>
  </si>
  <si>
    <t>T10</t>
  </si>
  <si>
    <t>T11</t>
  </si>
  <si>
    <t>Volet(  Si volet 1 pas de volet 2 et 3)</t>
  </si>
  <si>
    <t>Regrouper les itinéraires d'un seul tenant (moins de 30m) en opération 1 = T1, T2,</t>
  </si>
  <si>
    <t>Devis/Barème</t>
  </si>
  <si>
    <t>devis/Bareme</t>
  </si>
  <si>
    <t>Barème</t>
  </si>
  <si>
    <t>Devis</t>
  </si>
  <si>
    <t xml:space="preserve">Diversification </t>
  </si>
  <si>
    <t xml:space="preserve">Notice d'utilisation </t>
  </si>
  <si>
    <t xml:space="preserve">De même , une colonne" ilot"ne peut pas comporter à la fois des opérations sur barême et des opérations sur devis </t>
  </si>
  <si>
    <t>Tenement</t>
  </si>
  <si>
    <t>T12</t>
  </si>
  <si>
    <t>T13</t>
  </si>
  <si>
    <t>T14</t>
  </si>
  <si>
    <t>T15</t>
  </si>
  <si>
    <t>T16</t>
  </si>
  <si>
    <t>T17</t>
  </si>
  <si>
    <t>T18</t>
  </si>
  <si>
    <t>T19</t>
  </si>
  <si>
    <t>T20</t>
  </si>
  <si>
    <t xml:space="preserve">Cette Annexe G permet au porteur de projet de résumer les volets et les opérations pour lesquels il dépose une demande d'aide. Elle permet le calcul automatique du montant de demande d'aide.                               </t>
  </si>
  <si>
    <t>Montant total dépenses éligibles(hors Eléménts écologiques)</t>
  </si>
  <si>
    <t>Maitrise d'œuvre(Oui/non)</t>
  </si>
  <si>
    <t xml:space="preserve">montants calculés par coûts standards (CS) du barème </t>
  </si>
  <si>
    <t>Code barème Option (OP2,3 ou 4)</t>
  </si>
  <si>
    <t>Code barème option(OP1)</t>
  </si>
  <si>
    <t>Surface totale éligible(ha)</t>
  </si>
  <si>
    <t>Opération 1</t>
  </si>
  <si>
    <t>Surface totale travaillée en Opé 1</t>
  </si>
  <si>
    <t>Montant total dépenses éligibles</t>
  </si>
  <si>
    <t>Total des dépenses Eléments écologiques</t>
  </si>
  <si>
    <t>Surface maintenue élement écologique</t>
  </si>
  <si>
    <t>Surface d'élément écologique comptabilisable dans la surface Op1</t>
  </si>
  <si>
    <t>Surface total</t>
  </si>
  <si>
    <t>Surface sur Devis (Ha)</t>
  </si>
  <si>
    <t xml:space="preserve">                Surface totale travaillée(Ha)</t>
  </si>
  <si>
    <t>Nombre Essences Comptabilisées</t>
  </si>
  <si>
    <t>Nombre d'essences Obligatoires</t>
  </si>
  <si>
    <t>Ml de cloisonnement par ha</t>
  </si>
  <si>
    <t>Montant dépenses supplémentaires éligibles des éléménts écologiques</t>
  </si>
  <si>
    <t>Montant total global éligible(avec éléments écologique) pour l'ensemble du projet</t>
  </si>
  <si>
    <t xml:space="preserve">Montant total Global reste à charge pour l'ensemble du projet </t>
  </si>
  <si>
    <t>Montant dépenses protection gibier sur barème enrichissement</t>
  </si>
  <si>
    <t>Surface Totale déclarée en éléments écologiques (ha)</t>
  </si>
  <si>
    <t>Surface plafonnée 10% opération1  en éléments écologiques(ha)</t>
  </si>
  <si>
    <t>Autre(s) financeur(s) public(s)</t>
  </si>
  <si>
    <t>Autre(s) financeur(s) privé(s)</t>
  </si>
  <si>
    <t>Peuplements pauvres</t>
  </si>
  <si>
    <t>Peuplements de montagne</t>
  </si>
  <si>
    <t>montant des options hors protection gibier barème en plein</t>
  </si>
  <si>
    <t>montant des options hors protection gibier barème enrichissement</t>
  </si>
  <si>
    <t>Montant dépenses des travaux principaux avec options hors protection gibier sur barème en plein</t>
  </si>
  <si>
    <t>Montant dépenses des travaux principaux avec options hors protection gibier sur barème enrichissement</t>
  </si>
  <si>
    <t>Montant prévisionnel total de subvention ADEME</t>
  </si>
  <si>
    <t>volet</t>
  </si>
  <si>
    <t>ds_surf_demandee_bareme</t>
  </si>
  <si>
    <t>ds_mt_dep_protection_gibier_bareme</t>
  </si>
  <si>
    <t>ds_mt_trx_bareme_hors_gibier</t>
  </si>
  <si>
    <t>ds_mt_moeuvre_bareme</t>
  </si>
  <si>
    <t>ds_surf_demandee_devisfacture</t>
  </si>
  <si>
    <t>ds_mt_dep_trx_principaux_devisfacture</t>
  </si>
  <si>
    <t>ds_mt_trx_connexes_devisfacture</t>
  </si>
  <si>
    <t>ds_mt_moeuvre_devisfacture</t>
  </si>
  <si>
    <t>ds_plan_financement_ademe</t>
  </si>
  <si>
    <t>ds_plan_financement_financeur_prive</t>
  </si>
  <si>
    <t>ds_plan_financement_autofinancement</t>
  </si>
  <si>
    <t>ds_plan_financement_autre_financeur_public</t>
  </si>
  <si>
    <t xml:space="preserve">Attention un dossier comportant un volet 1 (1a,1b,1c,1d) ne peut contenir de volets 2 et 3 en raison du régime d'aide qui lui est appliqué </t>
  </si>
  <si>
    <t>Toutes les cases en vert doivent être renseignés.</t>
  </si>
  <si>
    <t>Les cases en blanc s'implémentent seul en fonction des données saisies dans les cases en vert</t>
  </si>
  <si>
    <r>
      <t>Lorsque les titres des lignes sont en</t>
    </r>
    <r>
      <rPr>
        <sz val="11"/>
        <color rgb="FFFF0000"/>
        <rFont val="Calibri"/>
        <family val="2"/>
        <scheme val="minor"/>
      </rPr>
      <t xml:space="preserve"> rouge, </t>
    </r>
    <r>
      <rPr>
        <sz val="11"/>
        <rFont val="Calibri"/>
        <family val="2"/>
        <scheme val="minor"/>
      </rPr>
      <t xml:space="preserve">les informations à renseigner ne concernent </t>
    </r>
    <r>
      <rPr>
        <sz val="11"/>
        <color theme="1"/>
        <rFont val="Calibri"/>
        <family val="2"/>
        <scheme val="minor"/>
      </rPr>
      <t>que les devis, lorsqu'ils sont en</t>
    </r>
    <r>
      <rPr>
        <sz val="11"/>
        <color theme="0" tint="-0.499984740745262"/>
        <rFont val="Calibri"/>
        <family val="2"/>
        <scheme val="minor"/>
      </rPr>
      <t xml:space="preserve"> gris</t>
    </r>
    <r>
      <rPr>
        <sz val="11"/>
        <color theme="1"/>
        <rFont val="Calibri"/>
        <family val="2"/>
        <scheme val="minor"/>
      </rPr>
      <t xml:space="preserve"> elles ne concernent que les opérations 2f (enrichissement fin barème placeaux)</t>
    </r>
  </si>
  <si>
    <t>La ligne 7 "Regrouper les itinéraires d'un seul tenant (moins de 30m) en opération 1 = T1, T2" signifie que pour chaque ilot traité en opération 1 distant de moins de 30 mètres d'un autre îlot traité en opération 1, un numéro (de ténément) identique doit lui être attribué : ex : si l'ilôt 1 et l'ilôt 2 sont tous deux traités en opération 1 et que l'îlot 1 est distant de moins de 30 m de l'îlot 2, les deux porteront la mention "T1".</t>
  </si>
  <si>
    <t>Ce rattachement permet le calcul de la surface de diversification ainsi que le nombre d'essences par ilot ou par groupes d'îlot de seul tenant (ex : 2 îlots T1). Le tableau contenant les surfaces de diversification calculées par îlot ou groupe d'îlots d'un seul tenant se trouve sur la droite de la feuille "demande d'aide" (colonnes AE à AP)</t>
  </si>
  <si>
    <t>En barème en plein, et pour un îlot travaillé en zone géographique A (Plantation de résineux Landes de Gascogne) ou B (plantation de résineux Sud Charentes et Périgord), s'il y a une diversification avec des essences autres que le Pin Maritime et le Pin Taeda, il faudra saisir ces essences dans une seconde colonne en utilisant le barème de la Zone Géographique C, en renseignant le même numéro d'îlot et de tènement (ex : T1) dans les deux colonnes</t>
  </si>
  <si>
    <t xml:space="preserve">La surface éligible d'un îlot doit correspondre à la surface totale travaillée (= somme des surfaces pour chaque essence plantée/travaillée au sein d'un même îlot). Cette dernière correspond à la surface de l'ilot moins, le cas échéant, les éléments écologiques. Elle doit correspondre aux éléments saisis dans Carto Gip. </t>
  </si>
  <si>
    <t>Pour saisir les essences, dans les lignes 15 à 36, il faut saisir une ligne par essence, et pour les opérations 1 et 2, les essences à renseigner correspondent aux essences plantées; pour les opérations 3 et 4, les essences à renseigner correspondent aux essences travaillées.</t>
  </si>
  <si>
    <t>Surface de l'ilot (Ha)</t>
  </si>
  <si>
    <t>dont surface de maintien des éléménts écologiques (opé 1) (Ha)</t>
  </si>
  <si>
    <t>Suface total en opération 1 avec elements écologiques</t>
  </si>
  <si>
    <t xml:space="preserve">Surface diversification </t>
  </si>
  <si>
    <t>Surface De diversification Obligatoire(%)</t>
  </si>
  <si>
    <t xml:space="preserve">Montant total éligible d'aide de l'État </t>
  </si>
  <si>
    <t>Le montant correspondant au maintien d'éléments écologiquesest calculé automatiquement la fin du tableau (ligne 95); ce montant correspond à 10% de l'assiette éligible de l'ensemble des surfaces travaillées en opération 1 pour un même dossier et proaratisé à l'ilot.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</si>
</sst>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_-* #,##0\ _€_-;\-* #,##0\ _€_-;_-* &quot;-&quot;\ _€_-;_-@_-"/>
    <numFmt numFmtId="165" formatCode="_-* #,##0_-;\-* #,##0_-;_-* &quot;-&quot;??_-;_-@_-"/>
    <numFmt numFmtId="166" formatCode="#,##0.00&quot;   &quot;"/>
    <numFmt numFmtId="167" formatCode="#,##0.00&quot; €&quot;"/>
    <numFmt numFmtId="168" formatCode="#,##0&quot; €&quot;"/>
    <numFmt numFmtId="169" formatCode="#,##0&quot;   &quot;"/>
    <numFmt numFmtId="170" formatCode="#,##0.00&quot; €&quot;;[Red]&quot;-&quot;#,##0.00&quot; €&quot;"/>
    <numFmt numFmtId="171" formatCode="#,##0&quot;    &quot;;#,##0&quot;    &quot;;&quot;-    &quot;;@&quot; &quot;"/>
    <numFmt numFmtId="172" formatCode="_-* #,##0.00\ _€_-;\-* #,##0.00\ _€_-;_-* &quot;-&quot;\ _€_-;_-@_-"/>
    <numFmt numFmtId="173" formatCode="_-* #,##0.0\ _€_-;\-* #,##0.0\ _€_-;_-* &quot;-&quot;\ _€_-;_-@_-"/>
    <numFmt numFmtId="174" formatCode="_-* #,##0.0_-;\-* #,##0.0_-;_-* &quot;-&quot;??_-;_-@_-"/>
    <numFmt numFmtId="175" formatCode="#,##0.00\ _€;\-#,##0.00\ _€"/>
    <numFmt numFmtId="176" formatCode="0.000"/>
    <numFmt numFmtId="177" formatCode="#,##0.00\ &quot;€&quot;"/>
    <numFmt numFmtId="178" formatCode="0.0"/>
    <numFmt numFmtId="179" formatCode="#,##0.00_ ;\-#,##0.00\ "/>
  </numFmts>
  <fonts count="50">
    <font>
      <sz val="11"/>
      <color theme="1"/>
      <name val="Calibri"/>
      <family val="2"/>
      <scheme val="minor"/>
    </font>
    <font>
      <sz val="11"/>
      <color theme="1"/>
      <name val="Calibri"/>
      <family val="2"/>
      <scheme val="minor"/>
    </font>
    <font>
      <b/>
      <sz val="11"/>
      <color theme="1"/>
      <name val="Calibri"/>
      <family val="2"/>
      <scheme val="minor"/>
    </font>
    <font>
      <sz val="11"/>
      <color rgb="FFFFFFFF"/>
      <name val="Calibri1"/>
    </font>
    <font>
      <u/>
      <sz val="11"/>
      <color rgb="FF000000"/>
      <name val="Calibri"/>
      <family val="2"/>
    </font>
    <font>
      <b/>
      <sz val="11"/>
      <color rgb="FF000000"/>
      <name val="Calibri"/>
      <family val="2"/>
    </font>
    <font>
      <sz val="11"/>
      <color rgb="FFFF0000"/>
      <name val="Calibri"/>
      <family val="2"/>
    </font>
    <font>
      <b/>
      <sz val="11"/>
      <color rgb="FF000000"/>
      <name val="Calibri1"/>
    </font>
    <font>
      <sz val="11"/>
      <color rgb="FF000000"/>
      <name val="Calibri"/>
      <family val="2"/>
    </font>
    <font>
      <b/>
      <u/>
      <sz val="11"/>
      <color rgb="FF000000"/>
      <name val="Calibri"/>
      <family val="2"/>
    </font>
    <font>
      <b/>
      <u/>
      <sz val="11"/>
      <color rgb="FFFF0000"/>
      <name val="Calibri"/>
      <family val="2"/>
    </font>
    <font>
      <sz val="9"/>
      <color indexed="81"/>
      <name val="Tahoma"/>
      <family val="2"/>
    </font>
    <font>
      <b/>
      <sz val="14"/>
      <color theme="1"/>
      <name val="Calibri"/>
      <family val="2"/>
      <scheme val="minor"/>
    </font>
    <font>
      <b/>
      <sz val="18"/>
      <color theme="1"/>
      <name val="Calibri"/>
      <family val="2"/>
      <scheme val="minor"/>
    </font>
    <font>
      <b/>
      <sz val="14"/>
      <name val="Calibri"/>
      <family val="2"/>
      <scheme val="minor"/>
    </font>
    <font>
      <b/>
      <sz val="11"/>
      <name val="Calibri"/>
      <family val="2"/>
      <scheme val="minor"/>
    </font>
    <font>
      <sz val="14"/>
      <color theme="1"/>
      <name val="Calibri"/>
      <family val="2"/>
      <scheme val="minor"/>
    </font>
    <font>
      <sz val="14"/>
      <color rgb="FFFF0000"/>
      <name val="Calibri"/>
      <family val="2"/>
      <scheme val="minor"/>
    </font>
    <font>
      <sz val="11"/>
      <color rgb="FF000000"/>
      <name val="Calibri1"/>
    </font>
    <font>
      <sz val="14"/>
      <color theme="1"/>
      <name val="Calibri"/>
      <family val="2"/>
    </font>
    <font>
      <sz val="14"/>
      <name val="Calibri"/>
      <family val="2"/>
      <scheme val="minor"/>
    </font>
    <font>
      <sz val="12"/>
      <color theme="1"/>
      <name val="Calibri"/>
      <family val="2"/>
      <scheme val="minor"/>
    </font>
    <font>
      <b/>
      <sz val="9"/>
      <color indexed="81"/>
      <name val="Tahoma"/>
      <family val="2"/>
    </font>
    <font>
      <b/>
      <sz val="9"/>
      <color rgb="FF000000"/>
      <name val="Calibri1"/>
    </font>
    <font>
      <sz val="9"/>
      <color rgb="FF000000"/>
      <name val="Calibri1"/>
    </font>
    <font>
      <sz val="11"/>
      <color rgb="FF0070C0"/>
      <name val="Calibri"/>
      <family val="2"/>
    </font>
    <font>
      <u/>
      <sz val="11"/>
      <color rgb="FFFF0000"/>
      <name val="Calibri"/>
      <family val="2"/>
    </font>
    <font>
      <b/>
      <sz val="11"/>
      <color rgb="FF0000FF"/>
      <name val="Calibri"/>
      <family val="2"/>
    </font>
    <font>
      <b/>
      <sz val="11"/>
      <color rgb="FF00B050"/>
      <name val="Calibri"/>
      <family val="2"/>
    </font>
    <font>
      <b/>
      <sz val="14"/>
      <color rgb="FF000000"/>
      <name val="Calibri1"/>
    </font>
    <font>
      <i/>
      <sz val="11"/>
      <color rgb="FF000000"/>
      <name val="Calibri"/>
      <family val="2"/>
    </font>
    <font>
      <b/>
      <i/>
      <sz val="11"/>
      <color rgb="FF000000"/>
      <name val="Calibri"/>
      <family val="2"/>
    </font>
    <font>
      <b/>
      <sz val="11"/>
      <color rgb="FFFF0000"/>
      <name val="Calibri"/>
      <family val="2"/>
    </font>
    <font>
      <b/>
      <sz val="11"/>
      <color rgb="FF00B050"/>
      <name val="Calibri2"/>
    </font>
    <font>
      <sz val="11"/>
      <color rgb="FF000000"/>
      <name val="Calibri1"/>
      <family val="2"/>
    </font>
    <font>
      <sz val="8"/>
      <name val="Calibri"/>
      <family val="2"/>
      <scheme val="minor"/>
    </font>
    <font>
      <b/>
      <sz val="11"/>
      <color rgb="FFFF0000"/>
      <name val="Calibri"/>
      <family val="2"/>
      <scheme val="minor"/>
    </font>
    <font>
      <sz val="11"/>
      <name val="Calibri"/>
      <family val="2"/>
    </font>
    <font>
      <b/>
      <sz val="11"/>
      <name val="Calibri"/>
      <family val="2"/>
    </font>
    <font>
      <b/>
      <sz val="11"/>
      <color theme="4"/>
      <name val="Calibri"/>
      <family val="2"/>
    </font>
    <font>
      <sz val="11"/>
      <color theme="4"/>
      <name val="Calibri"/>
      <family val="2"/>
    </font>
    <font>
      <sz val="11"/>
      <name val="Calibri"/>
      <family val="2"/>
      <scheme val="minor"/>
    </font>
    <font>
      <sz val="9"/>
      <color indexed="81"/>
      <name val="Tahoma"/>
      <charset val="1"/>
    </font>
    <font>
      <b/>
      <u/>
      <sz val="14"/>
      <color theme="1"/>
      <name val="Calibri"/>
      <family val="2"/>
      <scheme val="minor"/>
    </font>
    <font>
      <sz val="11"/>
      <color rgb="FF343541"/>
      <name val="Segoe UI"/>
      <family val="2"/>
    </font>
    <font>
      <sz val="11"/>
      <color rgb="FF00B0F0"/>
      <name val="Calibri"/>
      <family val="2"/>
    </font>
    <font>
      <b/>
      <sz val="11"/>
      <color rgb="FF00B050"/>
      <name val="Calibri"/>
      <family val="2"/>
      <scheme val="minor"/>
    </font>
    <font>
      <sz val="11"/>
      <color rgb="FFFF0000"/>
      <name val="Calibri"/>
      <family val="2"/>
      <scheme val="minor"/>
    </font>
    <font>
      <sz val="11"/>
      <color theme="0" tint="-0.499984740745262"/>
      <name val="Calibri"/>
      <family val="2"/>
      <scheme val="minor"/>
    </font>
    <font>
      <i/>
      <sz val="11"/>
      <name val="Calibri"/>
      <family val="2"/>
      <scheme val="minor"/>
    </font>
  </fonts>
  <fills count="16">
    <fill>
      <patternFill patternType="none"/>
    </fill>
    <fill>
      <patternFill patternType="gray125"/>
    </fill>
    <fill>
      <patternFill patternType="solid">
        <fgColor rgb="FF2E75B6"/>
        <bgColor rgb="FF2E75B6"/>
      </patternFill>
    </fill>
    <fill>
      <patternFill patternType="solid">
        <fgColor rgb="FF99FF66"/>
        <bgColor rgb="FF99FF66"/>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00"/>
        <bgColor rgb="FFFFFF00"/>
      </patternFill>
    </fill>
    <fill>
      <patternFill patternType="solid">
        <fgColor rgb="FF99FF66"/>
        <bgColor rgb="FF00CC00"/>
      </patternFill>
    </fill>
    <fill>
      <patternFill patternType="solid">
        <fgColor rgb="FFD0CECE"/>
        <bgColor rgb="FFD0CECE"/>
      </patternFill>
    </fill>
    <fill>
      <patternFill patternType="solid">
        <fgColor theme="4" tint="0.39997558519241921"/>
        <bgColor indexed="64"/>
      </patternFill>
    </fill>
    <fill>
      <patternFill patternType="solid">
        <fgColor theme="5"/>
        <bgColor indexed="64"/>
      </patternFill>
    </fill>
    <fill>
      <patternFill patternType="solid">
        <fgColor rgb="FFFF0000"/>
        <bgColor indexed="64"/>
      </patternFill>
    </fill>
    <fill>
      <patternFill patternType="solid">
        <fgColor theme="0"/>
        <bgColor rgb="FF99FF66"/>
      </patternFill>
    </fill>
    <fill>
      <patternFill patternType="solid">
        <fgColor rgb="FF99FF66"/>
        <bgColor indexed="64"/>
      </patternFill>
    </fill>
    <fill>
      <patternFill patternType="solid">
        <fgColor rgb="FF00B0F0"/>
        <bgColor indexed="64"/>
      </patternFill>
    </fill>
  </fills>
  <borders count="192">
    <border>
      <left/>
      <right/>
      <top/>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medium">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ck">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ck">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ck">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ck">
        <color rgb="FF000000"/>
      </bottom>
      <diagonal/>
    </border>
    <border>
      <left/>
      <right style="thin">
        <color rgb="FF000000"/>
      </right>
      <top style="thin">
        <color rgb="FF000000"/>
      </top>
      <bottom style="thick">
        <color rgb="FF000000"/>
      </bottom>
      <diagonal/>
    </border>
    <border>
      <left style="thin">
        <color rgb="FF000000"/>
      </left>
      <right style="thin">
        <color rgb="FF000000"/>
      </right>
      <top/>
      <bottom style="thin">
        <color rgb="FF000000"/>
      </bottom>
      <diagonal/>
    </border>
    <border>
      <left/>
      <right style="thick">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top style="thin">
        <color rgb="FF000000"/>
      </top>
      <bottom/>
      <diagonal/>
    </border>
    <border>
      <left/>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bottom/>
      <diagonal/>
    </border>
    <border>
      <left style="medium">
        <color rgb="FF000000"/>
      </left>
      <right/>
      <top style="thin">
        <color rgb="FF000000"/>
      </top>
      <bottom style="medium">
        <color rgb="FF000000"/>
      </bottom>
      <diagonal/>
    </border>
    <border>
      <left/>
      <right style="thick">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thick">
        <color rgb="FF000000"/>
      </left>
      <right style="medium">
        <color rgb="FF000000"/>
      </right>
      <top style="thin">
        <color rgb="FF000000"/>
      </top>
      <bottom style="thin">
        <color rgb="FF000000"/>
      </bottom>
      <diagonal/>
    </border>
    <border>
      <left style="thin">
        <color rgb="FF000000"/>
      </left>
      <right style="thick">
        <color rgb="FF000000"/>
      </right>
      <top/>
      <bottom style="thin">
        <color rgb="FF000000"/>
      </bottom>
      <diagonal/>
    </border>
    <border>
      <left style="thin">
        <color rgb="FF000000"/>
      </left>
      <right style="thin">
        <color rgb="FF000000"/>
      </right>
      <top/>
      <bottom/>
      <diagonal/>
    </border>
    <border>
      <left style="thin">
        <color rgb="FF000000"/>
      </left>
      <right style="thick">
        <color rgb="FF000000"/>
      </right>
      <top style="thin">
        <color rgb="FF000000"/>
      </top>
      <bottom style="thin">
        <color rgb="FF000000"/>
      </bottom>
      <diagonal/>
    </border>
    <border>
      <left/>
      <right style="thin">
        <color rgb="FF000000"/>
      </right>
      <top/>
      <bottom style="thin">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thick">
        <color rgb="FF000000"/>
      </left>
      <right style="medium">
        <color rgb="FF000000"/>
      </right>
      <top style="medium">
        <color rgb="FF000000"/>
      </top>
      <bottom style="thin">
        <color rgb="FF000000"/>
      </bottom>
      <diagonal/>
    </border>
    <border>
      <left/>
      <right style="medium">
        <color rgb="FF000000"/>
      </right>
      <top style="medium">
        <color rgb="FF000000"/>
      </top>
      <bottom style="medium">
        <color rgb="FF000000"/>
      </bottom>
      <diagonal/>
    </border>
    <border>
      <left/>
      <right/>
      <top style="thin">
        <color rgb="FF000000"/>
      </top>
      <bottom/>
      <diagonal/>
    </border>
    <border>
      <left style="thin">
        <color rgb="FF000000"/>
      </left>
      <right style="medium">
        <color rgb="FF000000"/>
      </right>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thin">
        <color indexed="64"/>
      </right>
      <top/>
      <bottom style="dashed">
        <color indexed="64"/>
      </bottom>
      <diagonal/>
    </border>
    <border>
      <left style="double">
        <color indexed="64"/>
      </left>
      <right style="medium">
        <color indexed="64"/>
      </right>
      <top style="thin">
        <color indexed="64"/>
      </top>
      <bottom style="medium">
        <color indexed="64"/>
      </bottom>
      <diagonal/>
    </border>
    <border>
      <left/>
      <right style="thick">
        <color rgb="FF000000"/>
      </right>
      <top/>
      <bottom/>
      <diagonal/>
    </border>
    <border>
      <left style="thin">
        <color rgb="FF000000"/>
      </left>
      <right style="thick">
        <color indexed="64"/>
      </right>
      <top style="thin">
        <color rgb="FF000000"/>
      </top>
      <bottom style="thin">
        <color indexed="64"/>
      </bottom>
      <diagonal/>
    </border>
    <border>
      <left style="thin">
        <color rgb="FF000000"/>
      </left>
      <right style="thick">
        <color indexed="64"/>
      </right>
      <top style="thin">
        <color rgb="FF000000"/>
      </top>
      <bottom style="thin">
        <color rgb="FF000000"/>
      </bottom>
      <diagonal/>
    </border>
    <border>
      <left style="thin">
        <color rgb="FF000000"/>
      </left>
      <right style="thick">
        <color indexed="64"/>
      </right>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right style="thick">
        <color rgb="FF000000"/>
      </right>
      <top style="thin">
        <color rgb="FF000000"/>
      </top>
      <bottom/>
      <diagonal/>
    </border>
    <border>
      <left style="thin">
        <color indexed="64"/>
      </left>
      <right style="thin">
        <color rgb="FF000000"/>
      </right>
      <top/>
      <bottom style="thin">
        <color indexed="64"/>
      </bottom>
      <diagonal/>
    </border>
    <border>
      <left style="thin">
        <color rgb="FF000000"/>
      </left>
      <right style="thin">
        <color indexed="64"/>
      </right>
      <top/>
      <bottom style="thin">
        <color indexed="64"/>
      </bottom>
      <diagonal/>
    </border>
    <border>
      <left/>
      <right/>
      <top/>
      <bottom style="thin">
        <color indexed="64"/>
      </bottom>
      <diagonal/>
    </border>
    <border>
      <left/>
      <right style="medium">
        <color rgb="FF000000"/>
      </right>
      <top/>
      <bottom style="thin">
        <color rgb="FF000000"/>
      </bottom>
      <diagonal/>
    </border>
    <border>
      <left/>
      <right style="medium">
        <color indexed="64"/>
      </right>
      <top style="thin">
        <color rgb="FF000000"/>
      </top>
      <bottom/>
      <diagonal/>
    </border>
    <border>
      <left style="thin">
        <color rgb="FF000000"/>
      </left>
      <right style="medium">
        <color indexed="64"/>
      </right>
      <top style="thin">
        <color rgb="FF000000"/>
      </top>
      <bottom/>
      <diagonal/>
    </border>
    <border>
      <left style="thin">
        <color rgb="FF000000"/>
      </left>
      <right style="medium">
        <color indexed="64"/>
      </right>
      <top style="thin">
        <color rgb="FF000000"/>
      </top>
      <bottom style="thin">
        <color rgb="FF000000"/>
      </bottom>
      <diagonal/>
    </border>
    <border>
      <left/>
      <right style="medium">
        <color indexed="64"/>
      </right>
      <top/>
      <bottom style="thin">
        <color indexed="64"/>
      </bottom>
      <diagonal/>
    </border>
    <border>
      <left style="thin">
        <color rgb="FF000000"/>
      </left>
      <right style="medium">
        <color indexed="64"/>
      </right>
      <top style="medium">
        <color rgb="FF000000"/>
      </top>
      <bottom style="medium">
        <color rgb="FF000000"/>
      </bottom>
      <diagonal/>
    </border>
    <border>
      <left style="thin">
        <color rgb="FF000000"/>
      </left>
      <right style="medium">
        <color indexed="64"/>
      </right>
      <top style="medium">
        <color rgb="FF000000"/>
      </top>
      <bottom style="thin">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indexed="64"/>
      </right>
      <top style="medium">
        <color rgb="FF000000"/>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medium">
        <color indexed="64"/>
      </left>
      <right style="medium">
        <color indexed="64"/>
      </right>
      <top style="thin">
        <color rgb="FF000000"/>
      </top>
      <bottom style="thick">
        <color rgb="FF000000"/>
      </bottom>
      <diagonal/>
    </border>
    <border>
      <left/>
      <right style="thick">
        <color indexed="64"/>
      </right>
      <top/>
      <bottom style="thin">
        <color rgb="FF000000"/>
      </bottom>
      <diagonal/>
    </border>
    <border>
      <left/>
      <right style="thick">
        <color indexed="64"/>
      </right>
      <top style="thin">
        <color rgb="FF000000"/>
      </top>
      <bottom style="thick">
        <color rgb="FF000000"/>
      </bottom>
      <diagonal/>
    </border>
    <border>
      <left/>
      <right style="thick">
        <color indexed="64"/>
      </right>
      <top style="thin">
        <color rgb="FF000000"/>
      </top>
      <bottom style="thin">
        <color rgb="FF000000"/>
      </bottom>
      <diagonal/>
    </border>
    <border>
      <left/>
      <right style="thick">
        <color indexed="64"/>
      </right>
      <top style="thin">
        <color rgb="FF000000"/>
      </top>
      <bottom/>
      <diagonal/>
    </border>
    <border>
      <left/>
      <right style="thick">
        <color indexed="64"/>
      </right>
      <top style="medium">
        <color rgb="FF000000"/>
      </top>
      <bottom style="thin">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medium">
        <color indexed="64"/>
      </bottom>
      <diagonal/>
    </border>
    <border>
      <left style="medium">
        <color rgb="FF000000"/>
      </left>
      <right style="medium">
        <color rgb="FF000000"/>
      </right>
      <top style="thin">
        <color rgb="FF000000"/>
      </top>
      <bottom style="medium">
        <color indexed="64"/>
      </bottom>
      <diagonal/>
    </border>
    <border>
      <left style="medium">
        <color rgb="FF000000"/>
      </left>
      <right style="thin">
        <color rgb="FF000000"/>
      </right>
      <top style="thin">
        <color rgb="FF000000"/>
      </top>
      <bottom style="medium">
        <color indexed="64"/>
      </bottom>
      <diagonal/>
    </border>
    <border>
      <left style="thin">
        <color rgb="FF000000"/>
      </left>
      <right style="medium">
        <color rgb="FF000000"/>
      </right>
      <top style="thin">
        <color rgb="FF000000"/>
      </top>
      <bottom style="medium">
        <color indexed="64"/>
      </bottom>
      <diagonal/>
    </border>
    <border>
      <left style="medium">
        <color rgb="FF000000"/>
      </left>
      <right/>
      <top/>
      <bottom style="medium">
        <color indexed="64"/>
      </bottom>
      <diagonal/>
    </border>
    <border>
      <left style="thin">
        <color rgb="FF000000"/>
      </left>
      <right/>
      <top style="medium">
        <color rgb="FF000000"/>
      </top>
      <bottom style="medium">
        <color rgb="FF000000"/>
      </bottom>
      <diagonal/>
    </border>
    <border>
      <left/>
      <right style="thick">
        <color rgb="FF000000"/>
      </right>
      <top style="medium">
        <color rgb="FF000000"/>
      </top>
      <bottom style="medium">
        <color rgb="FF000000"/>
      </bottom>
      <diagonal/>
    </border>
    <border>
      <left style="thick">
        <color rgb="FF000000"/>
      </left>
      <right/>
      <top style="medium">
        <color rgb="FF000000"/>
      </top>
      <bottom style="medium">
        <color rgb="FF000000"/>
      </bottom>
      <diagonal/>
    </border>
    <border>
      <left style="thin">
        <color rgb="FF000000"/>
      </left>
      <right style="thick">
        <color rgb="FF000000"/>
      </right>
      <top style="thin">
        <color rgb="FF000000"/>
      </top>
      <bottom/>
      <diagonal/>
    </border>
    <border>
      <left/>
      <right/>
      <top style="thin">
        <color rgb="FF000000"/>
      </top>
      <bottom style="thick">
        <color rgb="FF000000"/>
      </bottom>
      <diagonal/>
    </border>
    <border>
      <left/>
      <right/>
      <top style="thin">
        <color rgb="FF000000"/>
      </top>
      <bottom style="medium">
        <color indexed="64"/>
      </bottom>
      <diagonal/>
    </border>
    <border>
      <left/>
      <right/>
      <top/>
      <bottom style="medium">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diagonal/>
    </border>
    <border>
      <left style="medium">
        <color rgb="FF000000"/>
      </left>
      <right/>
      <top/>
      <bottom/>
      <diagonal/>
    </border>
    <border>
      <left style="thin">
        <color rgb="FF000000"/>
      </left>
      <right style="medium">
        <color rgb="FF000000"/>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top style="thin">
        <color rgb="FF000000"/>
      </top>
      <bottom/>
      <diagonal/>
    </border>
    <border>
      <left style="thin">
        <color rgb="FF000000"/>
      </left>
      <right style="medium">
        <color indexed="64"/>
      </right>
      <top/>
      <bottom/>
      <diagonal/>
    </border>
    <border>
      <left style="thin">
        <color rgb="FF000000"/>
      </left>
      <right/>
      <top style="thin">
        <color rgb="FF000000"/>
      </top>
      <bottom style="thick">
        <color rgb="FF000000"/>
      </bottom>
      <diagonal/>
    </border>
    <border>
      <left style="medium">
        <color indexed="64"/>
      </left>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thin">
        <color indexed="64"/>
      </right>
      <top style="thin">
        <color rgb="FF000000"/>
      </top>
      <bottom style="thin">
        <color rgb="FF000000"/>
      </bottom>
      <diagonal/>
    </border>
    <border>
      <left style="thick">
        <color indexed="64"/>
      </left>
      <right/>
      <top style="thick">
        <color indexed="64"/>
      </top>
      <bottom/>
      <diagonal/>
    </border>
    <border>
      <left style="thick">
        <color rgb="FF000000"/>
      </left>
      <right/>
      <top style="thick">
        <color indexed="64"/>
      </top>
      <bottom/>
      <diagonal/>
    </border>
    <border>
      <left/>
      <right style="medium">
        <color rgb="FF000000"/>
      </right>
      <top style="thick">
        <color indexed="64"/>
      </top>
      <bottom/>
      <diagonal/>
    </border>
    <border>
      <left style="medium">
        <color rgb="FF000000"/>
      </left>
      <right style="thick">
        <color indexed="64"/>
      </right>
      <top style="thick">
        <color indexed="64"/>
      </top>
      <bottom/>
      <diagonal/>
    </border>
    <border>
      <left style="thick">
        <color indexed="64"/>
      </left>
      <right/>
      <top style="medium">
        <color indexed="64"/>
      </top>
      <bottom style="thick">
        <color indexed="64"/>
      </bottom>
      <diagonal/>
    </border>
    <border>
      <left style="thick">
        <color rgb="FF000000"/>
      </left>
      <right/>
      <top style="medium">
        <color indexed="64"/>
      </top>
      <bottom style="thick">
        <color indexed="64"/>
      </bottom>
      <diagonal/>
    </border>
    <border>
      <left/>
      <right style="medium">
        <color rgb="FF000000"/>
      </right>
      <top style="medium">
        <color indexed="64"/>
      </top>
      <bottom style="thick">
        <color indexed="64"/>
      </bottom>
      <diagonal/>
    </border>
    <border>
      <left style="medium">
        <color rgb="FF000000"/>
      </left>
      <right style="thick">
        <color indexed="64"/>
      </right>
      <top style="medium">
        <color indexed="64"/>
      </top>
      <bottom style="thick">
        <color indexed="64"/>
      </bottom>
      <diagonal/>
    </border>
    <border>
      <left style="thick">
        <color rgb="FF000000"/>
      </left>
      <right style="thick">
        <color indexed="64"/>
      </right>
      <top style="thick">
        <color indexed="64"/>
      </top>
      <bottom/>
      <diagonal/>
    </border>
    <border>
      <left style="thick">
        <color rgb="FF000000"/>
      </left>
      <right style="thick">
        <color indexed="64"/>
      </right>
      <top style="medium">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style="medium">
        <color indexed="64"/>
      </top>
      <bottom style="thick">
        <color indexed="64"/>
      </bottom>
      <diagonal/>
    </border>
    <border>
      <left/>
      <right style="thick">
        <color indexed="64"/>
      </right>
      <top style="thick">
        <color indexed="64"/>
      </top>
      <bottom/>
      <diagonal/>
    </border>
    <border>
      <left/>
      <right style="thick">
        <color indexed="64"/>
      </right>
      <top style="medium">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rgb="FF000000"/>
      </left>
      <right style="thin">
        <color rgb="FF000000"/>
      </right>
      <top style="thin">
        <color rgb="FF000000"/>
      </top>
      <bottom style="thick">
        <color indexed="64"/>
      </bottom>
      <diagonal/>
    </border>
    <border>
      <left/>
      <right style="thin">
        <color rgb="FF000000"/>
      </right>
      <top style="thin">
        <color rgb="FF000000"/>
      </top>
      <bottom style="thick">
        <color indexed="64"/>
      </bottom>
      <diagonal/>
    </border>
    <border>
      <left/>
      <right style="medium">
        <color rgb="FF000000"/>
      </right>
      <top style="thin">
        <color rgb="FF000000"/>
      </top>
      <bottom style="thick">
        <color indexed="64"/>
      </bottom>
      <diagonal/>
    </border>
    <border>
      <left style="medium">
        <color rgb="FF000000"/>
      </left>
      <right/>
      <top style="medium">
        <color indexed="64"/>
      </top>
      <bottom style="thin">
        <color rgb="FF000000"/>
      </bottom>
      <diagonal/>
    </border>
    <border>
      <left/>
      <right style="thick">
        <color indexed="64"/>
      </right>
      <top style="medium">
        <color indexed="64"/>
      </top>
      <bottom style="thin">
        <color rgb="FF000000"/>
      </bottom>
      <diagonal/>
    </border>
    <border>
      <left style="thick">
        <color indexed="64"/>
      </left>
      <right style="thick">
        <color indexed="64"/>
      </right>
      <top/>
      <bottom style="thick">
        <color indexed="64"/>
      </bottom>
      <diagonal/>
    </border>
  </borders>
  <cellStyleXfs count="6">
    <xf numFmtId="0" fontId="0" fillId="0" borderId="0"/>
    <xf numFmtId="9" fontId="1" fillId="0" borderId="0" applyFont="0" applyFill="0" applyBorder="0" applyAlignment="0" applyProtection="0"/>
    <xf numFmtId="9" fontId="18" fillId="0" borderId="0" applyFont="0" applyBorder="0" applyProtection="0"/>
    <xf numFmtId="0" fontId="34" fillId="0" borderId="19">
      <alignment horizontal="center" vertical="center"/>
    </xf>
    <xf numFmtId="43" fontId="18" fillId="0" borderId="0" applyFont="0" applyFill="0" applyBorder="0" applyAlignment="0" applyProtection="0"/>
    <xf numFmtId="43" fontId="1" fillId="0" borderId="0" applyFont="0" applyFill="0" applyBorder="0" applyAlignment="0" applyProtection="0"/>
  </cellStyleXfs>
  <cellXfs count="666">
    <xf numFmtId="0" fontId="0" fillId="0" borderId="0" xfId="0"/>
    <xf numFmtId="0" fontId="0" fillId="0" borderId="5" xfId="0" applyBorder="1" applyAlignment="1">
      <alignment horizontal="left" vertical="center" wrapText="1"/>
    </xf>
    <xf numFmtId="0" fontId="5" fillId="3" borderId="4" xfId="0" applyFont="1" applyFill="1" applyBorder="1" applyAlignment="1" applyProtection="1">
      <alignment horizontal="center" vertical="center" wrapText="1"/>
      <protection locked="0"/>
    </xf>
    <xf numFmtId="0" fontId="5" fillId="3" borderId="6" xfId="0" applyFont="1" applyFill="1" applyBorder="1" applyAlignment="1" applyProtection="1">
      <alignment horizontal="center" vertical="center" wrapText="1"/>
      <protection locked="0"/>
    </xf>
    <xf numFmtId="0" fontId="0" fillId="0" borderId="9" xfId="0" applyBorder="1" applyAlignment="1">
      <alignment horizontal="center"/>
    </xf>
    <xf numFmtId="0" fontId="0" fillId="3" borderId="11" xfId="0" applyFill="1" applyBorder="1" applyAlignment="1" applyProtection="1">
      <alignment horizontal="center"/>
      <protection locked="0"/>
    </xf>
    <xf numFmtId="0" fontId="0" fillId="3" borderId="12" xfId="0" applyFill="1" applyBorder="1" applyAlignment="1" applyProtection="1">
      <alignment horizontal="center"/>
      <protection locked="0"/>
    </xf>
    <xf numFmtId="0" fontId="0" fillId="3" borderId="13" xfId="0" applyFill="1" applyBorder="1" applyAlignment="1" applyProtection="1">
      <alignment horizontal="center"/>
      <protection locked="0"/>
    </xf>
    <xf numFmtId="0" fontId="0" fillId="3" borderId="18" xfId="0" applyFill="1" applyBorder="1" applyAlignment="1" applyProtection="1">
      <alignment horizontal="center"/>
      <protection locked="0"/>
    </xf>
    <xf numFmtId="0" fontId="0" fillId="3" borderId="19" xfId="0" applyFill="1" applyBorder="1" applyAlignment="1" applyProtection="1">
      <alignment horizontal="center"/>
      <protection locked="0"/>
    </xf>
    <xf numFmtId="0" fontId="0" fillId="3" borderId="20" xfId="0" applyFill="1" applyBorder="1" applyAlignment="1" applyProtection="1">
      <alignment horizontal="center"/>
      <protection locked="0"/>
    </xf>
    <xf numFmtId="0" fontId="0" fillId="3" borderId="21" xfId="0" applyFill="1" applyBorder="1" applyAlignment="1" applyProtection="1">
      <alignment horizontal="center"/>
      <protection locked="0"/>
    </xf>
    <xf numFmtId="0" fontId="6" fillId="3" borderId="22" xfId="0" applyFont="1" applyFill="1" applyBorder="1" applyAlignment="1">
      <alignment horizontal="center"/>
    </xf>
    <xf numFmtId="0" fontId="6" fillId="3" borderId="23" xfId="0" applyFont="1" applyFill="1" applyBorder="1" applyAlignment="1">
      <alignment horizontal="center"/>
    </xf>
    <xf numFmtId="0" fontId="8" fillId="3" borderId="27" xfId="0" applyFont="1" applyFill="1" applyBorder="1" applyAlignment="1" applyProtection="1">
      <alignment horizontal="left"/>
      <protection locked="0"/>
    </xf>
    <xf numFmtId="0" fontId="8" fillId="3" borderId="18" xfId="0" applyFont="1" applyFill="1" applyBorder="1" applyAlignment="1" applyProtection="1">
      <alignment horizontal="center"/>
      <protection locked="0"/>
    </xf>
    <xf numFmtId="0" fontId="8" fillId="3" borderId="19" xfId="0" applyFont="1" applyFill="1" applyBorder="1" applyAlignment="1" applyProtection="1">
      <alignment horizontal="center"/>
      <protection locked="0"/>
    </xf>
    <xf numFmtId="0" fontId="8" fillId="3" borderId="20" xfId="0" applyFont="1" applyFill="1" applyBorder="1" applyAlignment="1" applyProtection="1">
      <alignment horizontal="center"/>
      <protection locked="0"/>
    </xf>
    <xf numFmtId="0" fontId="8" fillId="3" borderId="21" xfId="0" applyFont="1" applyFill="1" applyBorder="1" applyAlignment="1" applyProtection="1">
      <alignment horizontal="center"/>
      <protection locked="0"/>
    </xf>
    <xf numFmtId="0" fontId="0" fillId="0" borderId="0" xfId="0" applyAlignment="1">
      <alignment horizontal="right"/>
    </xf>
    <xf numFmtId="0" fontId="8" fillId="0" borderId="69" xfId="0" applyFont="1" applyBorder="1" applyAlignment="1">
      <alignment horizontal="center"/>
    </xf>
    <xf numFmtId="0" fontId="5" fillId="0" borderId="70" xfId="0" applyFont="1" applyBorder="1" applyAlignment="1">
      <alignment horizontal="center"/>
    </xf>
    <xf numFmtId="0" fontId="0" fillId="0" borderId="73" xfId="0" applyBorder="1" applyAlignment="1">
      <alignment horizontal="center"/>
    </xf>
    <xf numFmtId="0" fontId="0" fillId="0" borderId="74" xfId="0" applyBorder="1" applyAlignment="1">
      <alignment horizontal="center"/>
    </xf>
    <xf numFmtId="0" fontId="5" fillId="0" borderId="7" xfId="0" applyFont="1" applyBorder="1" applyAlignment="1">
      <alignment horizontal="center" vertical="center" wrapText="1"/>
    </xf>
    <xf numFmtId="0" fontId="0" fillId="0" borderId="21" xfId="0" applyBorder="1"/>
    <xf numFmtId="0" fontId="0" fillId="0" borderId="75" xfId="0" applyBorder="1"/>
    <xf numFmtId="0" fontId="5" fillId="3" borderId="11" xfId="0" applyFont="1" applyFill="1" applyBorder="1" applyAlignment="1" applyProtection="1">
      <alignment horizontal="center"/>
      <protection locked="0"/>
    </xf>
    <xf numFmtId="0" fontId="5" fillId="3" borderId="12" xfId="0" applyFont="1" applyFill="1" applyBorder="1" applyAlignment="1" applyProtection="1">
      <alignment horizontal="center"/>
      <protection locked="0"/>
    </xf>
    <xf numFmtId="0" fontId="5" fillId="3" borderId="13" xfId="0" applyFont="1" applyFill="1" applyBorder="1" applyAlignment="1" applyProtection="1">
      <alignment horizontal="center"/>
      <protection locked="0"/>
    </xf>
    <xf numFmtId="0" fontId="5" fillId="0" borderId="82" xfId="0" applyFont="1" applyBorder="1" applyAlignment="1">
      <alignment horizontal="center"/>
    </xf>
    <xf numFmtId="4" fontId="5" fillId="0" borderId="16" xfId="0" applyNumberFormat="1" applyFont="1" applyBorder="1" applyAlignment="1">
      <alignment horizontal="center"/>
    </xf>
    <xf numFmtId="166" fontId="6" fillId="3" borderId="85" xfId="0" applyNumberFormat="1" applyFont="1" applyFill="1" applyBorder="1" applyAlignment="1" applyProtection="1">
      <alignment horizontal="center"/>
      <protection locked="0"/>
    </xf>
    <xf numFmtId="166" fontId="6" fillId="3" borderId="27" xfId="0" applyNumberFormat="1" applyFont="1" applyFill="1" applyBorder="1" applyAlignment="1" applyProtection="1">
      <alignment horizontal="center"/>
      <protection locked="0"/>
    </xf>
    <xf numFmtId="166" fontId="0" fillId="3" borderId="29" xfId="0" applyNumberFormat="1" applyFill="1" applyBorder="1" applyAlignment="1" applyProtection="1">
      <alignment horizontal="center"/>
      <protection locked="0"/>
    </xf>
    <xf numFmtId="166" fontId="0" fillId="3" borderId="30" xfId="0" applyNumberFormat="1" applyFill="1" applyBorder="1" applyAlignment="1" applyProtection="1">
      <alignment horizontal="center"/>
      <protection locked="0"/>
    </xf>
    <xf numFmtId="167" fontId="6" fillId="0" borderId="23" xfId="0" applyNumberFormat="1" applyFont="1" applyBorder="1" applyAlignment="1">
      <alignment horizontal="center"/>
    </xf>
    <xf numFmtId="167" fontId="6" fillId="0" borderId="24" xfId="0" applyNumberFormat="1" applyFont="1" applyBorder="1" applyAlignment="1">
      <alignment horizontal="center"/>
    </xf>
    <xf numFmtId="0" fontId="0" fillId="0" borderId="85" xfId="0" applyBorder="1" applyAlignment="1">
      <alignment horizontal="center"/>
    </xf>
    <xf numFmtId="169" fontId="8" fillId="0" borderId="19" xfId="0" applyNumberFormat="1" applyFont="1" applyBorder="1" applyAlignment="1">
      <alignment horizontal="center"/>
    </xf>
    <xf numFmtId="167" fontId="25" fillId="0" borderId="79" xfId="0" applyNumberFormat="1" applyFont="1" applyBorder="1" applyAlignment="1">
      <alignment horizontal="center" vertical="center"/>
    </xf>
    <xf numFmtId="0" fontId="5" fillId="3" borderId="14" xfId="0" applyFont="1" applyFill="1" applyBorder="1" applyAlignment="1" applyProtection="1">
      <alignment horizontal="center"/>
      <protection locked="0"/>
    </xf>
    <xf numFmtId="0" fontId="5" fillId="3" borderId="85" xfId="0" applyFont="1" applyFill="1" applyBorder="1" applyAlignment="1" applyProtection="1">
      <alignment horizontal="center"/>
      <protection locked="0"/>
    </xf>
    <xf numFmtId="0" fontId="5" fillId="3" borderId="27" xfId="0" applyFont="1" applyFill="1" applyBorder="1" applyAlignment="1" applyProtection="1">
      <alignment horizontal="center"/>
      <protection locked="0"/>
    </xf>
    <xf numFmtId="0" fontId="5" fillId="3" borderId="29" xfId="0" applyFont="1" applyFill="1" applyBorder="1" applyAlignment="1" applyProtection="1">
      <alignment horizontal="center"/>
      <protection locked="0"/>
    </xf>
    <xf numFmtId="0" fontId="5" fillId="3" borderId="30" xfId="0" applyFont="1" applyFill="1" applyBorder="1" applyAlignment="1" applyProtection="1">
      <alignment horizontal="center"/>
      <protection locked="0"/>
    </xf>
    <xf numFmtId="167" fontId="25" fillId="0" borderId="79" xfId="0" applyNumberFormat="1" applyFont="1" applyBorder="1" applyAlignment="1">
      <alignment horizontal="center" shrinkToFit="1"/>
    </xf>
    <xf numFmtId="167" fontId="6" fillId="0" borderId="18" xfId="0" applyNumberFormat="1" applyFont="1" applyBorder="1" applyAlignment="1">
      <alignment horizontal="center"/>
    </xf>
    <xf numFmtId="0" fontId="27" fillId="3" borderId="74" xfId="0" applyFont="1" applyFill="1" applyBorder="1" applyAlignment="1" applyProtection="1">
      <alignment horizontal="center" vertical="center" shrinkToFit="1"/>
      <protection locked="0"/>
    </xf>
    <xf numFmtId="167" fontId="25" fillId="0" borderId="2" xfId="0" applyNumberFormat="1" applyFont="1" applyBorder="1" applyAlignment="1">
      <alignment horizontal="center"/>
    </xf>
    <xf numFmtId="167" fontId="25" fillId="0" borderId="11" xfId="0" applyNumberFormat="1" applyFont="1" applyBorder="1" applyAlignment="1">
      <alignment horizontal="center" vertical="center"/>
    </xf>
    <xf numFmtId="167" fontId="28" fillId="0" borderId="18" xfId="0" applyNumberFormat="1" applyFont="1" applyBorder="1" applyAlignment="1">
      <alignment horizontal="center" vertical="center"/>
    </xf>
    <xf numFmtId="0" fontId="0" fillId="0" borderId="0" xfId="0" applyProtection="1">
      <protection locked="0"/>
    </xf>
    <xf numFmtId="2" fontId="0" fillId="0" borderId="0" xfId="0" applyNumberFormat="1" applyProtection="1">
      <protection locked="0"/>
    </xf>
    <xf numFmtId="167" fontId="0" fillId="0" borderId="0" xfId="0" applyNumberFormat="1" applyProtection="1">
      <protection locked="0"/>
    </xf>
    <xf numFmtId="0" fontId="0" fillId="0" borderId="76" xfId="0" applyBorder="1"/>
    <xf numFmtId="0" fontId="5" fillId="0" borderId="19" xfId="0" applyFont="1" applyBorder="1"/>
    <xf numFmtId="167" fontId="5" fillId="0" borderId="19" xfId="0" applyNumberFormat="1" applyFont="1" applyBorder="1"/>
    <xf numFmtId="167" fontId="30" fillId="0" borderId="18" xfId="0" applyNumberFormat="1" applyFont="1" applyBorder="1" applyAlignment="1">
      <alignment wrapText="1"/>
    </xf>
    <xf numFmtId="0" fontId="6" fillId="0" borderId="19" xfId="0" applyFont="1" applyBorder="1"/>
    <xf numFmtId="0" fontId="30" fillId="0" borderId="18" xfId="0" applyFont="1" applyBorder="1" applyAlignment="1">
      <alignment wrapText="1"/>
    </xf>
    <xf numFmtId="167" fontId="6" fillId="0" borderId="19" xfId="0" applyNumberFormat="1" applyFont="1" applyBorder="1"/>
    <xf numFmtId="0" fontId="5" fillId="0" borderId="19" xfId="0" applyFont="1" applyBorder="1" applyAlignment="1">
      <alignment horizontal="center" vertical="center"/>
    </xf>
    <xf numFmtId="171" fontId="5" fillId="0" borderId="19" xfId="0" applyNumberFormat="1" applyFont="1" applyBorder="1" applyAlignment="1">
      <alignment horizontal="center" vertical="center"/>
    </xf>
    <xf numFmtId="0" fontId="0" fillId="0" borderId="19" xfId="0" applyBorder="1"/>
    <xf numFmtId="171" fontId="8" fillId="0" borderId="19" xfId="0" applyNumberFormat="1" applyFont="1" applyBorder="1" applyAlignment="1">
      <alignment horizontal="center" vertical="center"/>
    </xf>
    <xf numFmtId="0" fontId="0" fillId="0" borderId="83" xfId="0" applyBorder="1"/>
    <xf numFmtId="0" fontId="13" fillId="0" borderId="33" xfId="3" applyFont="1" applyBorder="1" applyAlignment="1">
      <alignment vertical="center"/>
    </xf>
    <xf numFmtId="0" fontId="13" fillId="0" borderId="34" xfId="3" applyFont="1" applyBorder="1" applyAlignment="1"/>
    <xf numFmtId="0" fontId="34" fillId="0" borderId="34" xfId="3" applyBorder="1">
      <alignment horizontal="center" vertical="center"/>
    </xf>
    <xf numFmtId="0" fontId="12" fillId="0" borderId="33" xfId="3" applyFont="1" applyBorder="1" applyAlignment="1">
      <alignment horizontal="center" vertical="center" wrapText="1"/>
    </xf>
    <xf numFmtId="0" fontId="12" fillId="0" borderId="34" xfId="3" applyFont="1" applyBorder="1" applyAlignment="1">
      <alignment horizontal="center" vertical="center" wrapText="1"/>
    </xf>
    <xf numFmtId="0" fontId="12" fillId="0" borderId="33" xfId="3" applyFont="1" applyBorder="1" applyAlignment="1"/>
    <xf numFmtId="0" fontId="12" fillId="10" borderId="41" xfId="3" applyFont="1" applyFill="1" applyBorder="1" applyAlignment="1"/>
    <xf numFmtId="0" fontId="12" fillId="5" borderId="34" xfId="3" applyFont="1" applyFill="1" applyBorder="1" applyAlignment="1">
      <alignment horizontal="right"/>
    </xf>
    <xf numFmtId="0" fontId="12" fillId="0" borderId="33" xfId="3" applyFont="1" applyBorder="1" applyAlignment="1">
      <alignment horizontal="center"/>
    </xf>
    <xf numFmtId="0" fontId="12" fillId="0" borderId="41" xfId="3" applyFont="1" applyBorder="1" applyAlignment="1">
      <alignment horizontal="center"/>
    </xf>
    <xf numFmtId="0" fontId="12" fillId="0" borderId="40" xfId="3" applyFont="1" applyBorder="1" applyAlignment="1">
      <alignment horizontal="center"/>
    </xf>
    <xf numFmtId="0" fontId="12" fillId="0" borderId="34" xfId="3" applyFont="1" applyBorder="1" applyAlignment="1">
      <alignment horizontal="center"/>
    </xf>
    <xf numFmtId="0" fontId="16" fillId="10" borderId="43" xfId="3" applyFont="1" applyFill="1" applyBorder="1" applyAlignment="1">
      <alignment horizontal="center" vertical="center" wrapText="1"/>
    </xf>
    <xf numFmtId="0" fontId="12" fillId="0" borderId="44" xfId="3" applyFont="1" applyBorder="1" applyAlignment="1">
      <alignment horizontal="right" vertical="center" wrapText="1"/>
    </xf>
    <xf numFmtId="164" fontId="17" fillId="0" borderId="92" xfId="3" applyNumberFormat="1" applyFont="1" applyBorder="1">
      <alignment horizontal="center" vertical="center"/>
    </xf>
    <xf numFmtId="164" fontId="17" fillId="0" borderId="47" xfId="3" applyNumberFormat="1" applyFont="1" applyBorder="1">
      <alignment horizontal="center" vertical="center"/>
    </xf>
    <xf numFmtId="164" fontId="17" fillId="0" borderId="46" xfId="3" applyNumberFormat="1" applyFont="1" applyBorder="1">
      <alignment horizontal="center" vertical="center"/>
    </xf>
    <xf numFmtId="164" fontId="17" fillId="0" borderId="43" xfId="3" applyNumberFormat="1" applyFont="1" applyBorder="1">
      <alignment horizontal="center" vertical="center"/>
    </xf>
    <xf numFmtId="164" fontId="17" fillId="0" borderId="44" xfId="3" applyNumberFormat="1" applyFont="1" applyBorder="1">
      <alignment horizontal="center" vertical="center"/>
    </xf>
    <xf numFmtId="164" fontId="16" fillId="6" borderId="45" xfId="3" applyNumberFormat="1" applyFont="1" applyFill="1" applyBorder="1" applyAlignment="1">
      <alignment vertical="center"/>
    </xf>
    <xf numFmtId="164" fontId="16" fillId="6" borderId="43" xfId="3" applyNumberFormat="1" applyFont="1" applyFill="1" applyBorder="1" applyAlignment="1">
      <alignment vertical="center"/>
    </xf>
    <xf numFmtId="164" fontId="16" fillId="6" borderId="46" xfId="3" applyNumberFormat="1" applyFont="1" applyFill="1" applyBorder="1" applyAlignment="1">
      <alignment vertical="center"/>
    </xf>
    <xf numFmtId="164" fontId="16" fillId="6" borderId="47" xfId="3" applyNumberFormat="1" applyFont="1" applyFill="1" applyBorder="1" applyAlignment="1">
      <alignment vertical="center"/>
    </xf>
    <xf numFmtId="164" fontId="16" fillId="6" borderId="44" xfId="3" applyNumberFormat="1" applyFont="1" applyFill="1" applyBorder="1" applyAlignment="1">
      <alignment vertical="center"/>
    </xf>
    <xf numFmtId="0" fontId="16" fillId="10" borderId="48" xfId="3" applyFont="1" applyFill="1" applyBorder="1" applyAlignment="1">
      <alignment horizontal="center" vertical="center" wrapText="1"/>
    </xf>
    <xf numFmtId="0" fontId="14" fillId="0" borderId="49" xfId="3" applyFont="1" applyBorder="1" applyAlignment="1">
      <alignment horizontal="right" vertical="center" wrapText="1"/>
    </xf>
    <xf numFmtId="164" fontId="16" fillId="6" borderId="50" xfId="3" applyNumberFormat="1" applyFont="1" applyFill="1" applyBorder="1">
      <alignment horizontal="center" vertical="center"/>
    </xf>
    <xf numFmtId="164" fontId="16" fillId="6" borderId="48" xfId="3" applyNumberFormat="1" applyFont="1" applyFill="1" applyBorder="1">
      <alignment horizontal="center" vertical="center"/>
    </xf>
    <xf numFmtId="164" fontId="16" fillId="6" borderId="51" xfId="3" applyNumberFormat="1" applyFont="1" applyFill="1" applyBorder="1">
      <alignment horizontal="center" vertical="center"/>
    </xf>
    <xf numFmtId="164" fontId="16" fillId="6" borderId="52" xfId="3" applyNumberFormat="1" applyFont="1" applyFill="1" applyBorder="1">
      <alignment horizontal="center" vertical="center"/>
    </xf>
    <xf numFmtId="164" fontId="16" fillId="6" borderId="53" xfId="3" applyNumberFormat="1" applyFont="1" applyFill="1" applyBorder="1">
      <alignment horizontal="center" vertical="center"/>
    </xf>
    <xf numFmtId="164" fontId="16" fillId="6" borderId="54" xfId="3" applyNumberFormat="1" applyFont="1" applyFill="1" applyBorder="1">
      <alignment horizontal="center" vertical="center"/>
    </xf>
    <xf numFmtId="164" fontId="17" fillId="0" borderId="45" xfId="3" applyNumberFormat="1" applyFont="1" applyBorder="1">
      <alignment horizontal="center" vertical="center"/>
    </xf>
    <xf numFmtId="164" fontId="17" fillId="0" borderId="48" xfId="3" applyNumberFormat="1" applyFont="1" applyBorder="1">
      <alignment horizontal="center" vertical="center"/>
    </xf>
    <xf numFmtId="164" fontId="17" fillId="0" borderId="51" xfId="3" applyNumberFormat="1" applyFont="1" applyBorder="1">
      <alignment horizontal="center" vertical="center"/>
    </xf>
    <xf numFmtId="164" fontId="17" fillId="0" borderId="52" xfId="3" applyNumberFormat="1" applyFont="1" applyBorder="1">
      <alignment horizontal="center" vertical="center"/>
    </xf>
    <xf numFmtId="0" fontId="12" fillId="0" borderId="49" xfId="3" applyFont="1" applyBorder="1" applyAlignment="1">
      <alignment horizontal="right" vertical="center" wrapText="1"/>
    </xf>
    <xf numFmtId="164" fontId="17" fillId="0" borderId="50" xfId="3" applyNumberFormat="1" applyFont="1" applyBorder="1">
      <alignment horizontal="center" vertical="center"/>
    </xf>
    <xf numFmtId="164" fontId="17" fillId="6" borderId="50" xfId="3" applyNumberFormat="1" applyFont="1" applyFill="1" applyBorder="1">
      <alignment horizontal="center" vertical="center"/>
    </xf>
    <xf numFmtId="164" fontId="17" fillId="6" borderId="48" xfId="3" applyNumberFormat="1" applyFont="1" applyFill="1" applyBorder="1">
      <alignment horizontal="center" vertical="center"/>
    </xf>
    <xf numFmtId="164" fontId="17" fillId="6" borderId="51" xfId="3" applyNumberFormat="1" applyFont="1" applyFill="1" applyBorder="1">
      <alignment horizontal="center" vertical="center"/>
    </xf>
    <xf numFmtId="0" fontId="16" fillId="10" borderId="53" xfId="3" applyFont="1" applyFill="1" applyBorder="1" applyAlignment="1">
      <alignment horizontal="center" vertical="center" wrapText="1"/>
    </xf>
    <xf numFmtId="0" fontId="12" fillId="0" borderId="64" xfId="3" applyFont="1" applyBorder="1" applyAlignment="1">
      <alignment horizontal="right" vertical="center" wrapText="1"/>
    </xf>
    <xf numFmtId="164" fontId="16" fillId="6" borderId="58" xfId="3" applyNumberFormat="1" applyFont="1" applyFill="1" applyBorder="1">
      <alignment horizontal="center" vertical="center"/>
    </xf>
    <xf numFmtId="164" fontId="16" fillId="6" borderId="56" xfId="3" applyNumberFormat="1" applyFont="1" applyFill="1" applyBorder="1">
      <alignment horizontal="center" vertical="center"/>
    </xf>
    <xf numFmtId="164" fontId="16" fillId="6" borderId="59" xfId="3" applyNumberFormat="1" applyFont="1" applyFill="1" applyBorder="1">
      <alignment horizontal="center" vertical="center"/>
    </xf>
    <xf numFmtId="164" fontId="16" fillId="6" borderId="60" xfId="3" applyNumberFormat="1" applyFont="1" applyFill="1" applyBorder="1">
      <alignment horizontal="center" vertical="center"/>
    </xf>
    <xf numFmtId="164" fontId="16" fillId="6" borderId="61" xfId="3" applyNumberFormat="1" applyFont="1" applyFill="1" applyBorder="1">
      <alignment horizontal="center" vertical="center"/>
    </xf>
    <xf numFmtId="164" fontId="16" fillId="6" borderId="62" xfId="3" applyNumberFormat="1" applyFont="1" applyFill="1" applyBorder="1">
      <alignment horizontal="center" vertical="center"/>
    </xf>
    <xf numFmtId="164" fontId="16" fillId="6" borderId="57" xfId="3" applyNumberFormat="1" applyFont="1" applyFill="1" applyBorder="1">
      <alignment horizontal="center" vertical="center"/>
    </xf>
    <xf numFmtId="164" fontId="17" fillId="4" borderId="56" xfId="3" applyNumberFormat="1" applyFont="1" applyFill="1" applyBorder="1">
      <alignment horizontal="center" vertical="center"/>
    </xf>
    <xf numFmtId="164" fontId="17" fillId="4" borderId="59" xfId="3" applyNumberFormat="1" applyFont="1" applyFill="1" applyBorder="1">
      <alignment horizontal="center" vertical="center"/>
    </xf>
    <xf numFmtId="0" fontId="12" fillId="4" borderId="34" xfId="3" applyFont="1" applyFill="1" applyBorder="1" applyAlignment="1">
      <alignment horizontal="center" vertical="center" wrapText="1"/>
    </xf>
    <xf numFmtId="0" fontId="12" fillId="5" borderId="40" xfId="3" applyFont="1" applyFill="1" applyBorder="1" applyAlignment="1">
      <alignment horizontal="right" vertical="center" wrapText="1"/>
    </xf>
    <xf numFmtId="0" fontId="12" fillId="0" borderId="35" xfId="3" applyFont="1" applyBorder="1" applyAlignment="1">
      <alignment horizontal="center"/>
    </xf>
    <xf numFmtId="0" fontId="12" fillId="0" borderId="93" xfId="3" applyFont="1" applyBorder="1" applyAlignment="1">
      <alignment horizontal="center"/>
    </xf>
    <xf numFmtId="0" fontId="12" fillId="0" borderId="37" xfId="3" applyFont="1" applyBorder="1" applyAlignment="1">
      <alignment horizontal="center"/>
    </xf>
    <xf numFmtId="0" fontId="12" fillId="0" borderId="36" xfId="3" applyFont="1" applyBorder="1" applyAlignment="1">
      <alignment horizontal="center"/>
    </xf>
    <xf numFmtId="0" fontId="16" fillId="10" borderId="43" xfId="3" applyFont="1" applyFill="1" applyBorder="1">
      <alignment horizontal="center" vertical="center"/>
    </xf>
    <xf numFmtId="0" fontId="16" fillId="0" borderId="44" xfId="3" applyFont="1" applyBorder="1" applyAlignment="1">
      <alignment horizontal="left" vertical="center" wrapText="1"/>
    </xf>
    <xf numFmtId="164" fontId="12" fillId="6" borderId="45" xfId="3" applyNumberFormat="1" applyFont="1" applyFill="1" applyBorder="1" applyAlignment="1">
      <alignment horizontal="left" vertical="center"/>
    </xf>
    <xf numFmtId="164" fontId="12" fillId="6" borderId="43" xfId="3" applyNumberFormat="1" applyFont="1" applyFill="1" applyBorder="1">
      <alignment horizontal="center" vertical="center"/>
    </xf>
    <xf numFmtId="164" fontId="12" fillId="6" borderId="46" xfId="3" applyNumberFormat="1" applyFont="1" applyFill="1" applyBorder="1">
      <alignment horizontal="center" vertical="center"/>
    </xf>
    <xf numFmtId="164" fontId="12" fillId="6" borderId="47" xfId="3" applyNumberFormat="1" applyFont="1" applyFill="1" applyBorder="1">
      <alignment horizontal="center" vertical="center"/>
    </xf>
    <xf numFmtId="164" fontId="12" fillId="6" borderId="44" xfId="3" applyNumberFormat="1" applyFont="1" applyFill="1" applyBorder="1">
      <alignment horizontal="center" vertical="center"/>
    </xf>
    <xf numFmtId="164" fontId="17" fillId="0" borderId="94" xfId="3" applyNumberFormat="1" applyFont="1" applyBorder="1">
      <alignment horizontal="center" vertical="center"/>
    </xf>
    <xf numFmtId="164" fontId="17" fillId="0" borderId="95" xfId="3" applyNumberFormat="1" applyFont="1" applyBorder="1">
      <alignment horizontal="center" vertical="center"/>
    </xf>
    <xf numFmtId="164" fontId="17" fillId="0" borderId="96" xfId="3" applyNumberFormat="1" applyFont="1" applyBorder="1">
      <alignment horizontal="center" vertical="center"/>
    </xf>
    <xf numFmtId="43" fontId="16" fillId="6" borderId="47" xfId="4" applyFont="1" applyFill="1" applyBorder="1" applyAlignment="1">
      <alignment horizontal="center" vertical="center"/>
    </xf>
    <xf numFmtId="43" fontId="16" fillId="6" borderId="43" xfId="4" applyFont="1" applyFill="1" applyBorder="1" applyAlignment="1">
      <alignment horizontal="center" vertical="center"/>
    </xf>
    <xf numFmtId="43" fontId="16" fillId="6" borderId="46" xfId="4" applyFont="1" applyFill="1" applyBorder="1" applyAlignment="1">
      <alignment horizontal="center" vertical="center"/>
    </xf>
    <xf numFmtId="0" fontId="16" fillId="10" borderId="48" xfId="3" applyFont="1" applyFill="1" applyBorder="1">
      <alignment horizontal="center" vertical="center"/>
    </xf>
    <xf numFmtId="0" fontId="16" fillId="0" borderId="49" xfId="3" applyFont="1" applyBorder="1" applyAlignment="1">
      <alignment horizontal="left" vertical="center" wrapText="1"/>
    </xf>
    <xf numFmtId="164" fontId="12" fillId="6" borderId="50" xfId="3" applyNumberFormat="1" applyFont="1" applyFill="1" applyBorder="1">
      <alignment horizontal="center" vertical="center"/>
    </xf>
    <xf numFmtId="164" fontId="12" fillId="6" borderId="48" xfId="3" applyNumberFormat="1" applyFont="1" applyFill="1" applyBorder="1">
      <alignment horizontal="center" vertical="center"/>
    </xf>
    <xf numFmtId="164" fontId="12" fillId="6" borderId="51" xfId="3" applyNumberFormat="1" applyFont="1" applyFill="1" applyBorder="1">
      <alignment horizontal="center" vertical="center"/>
    </xf>
    <xf numFmtId="164" fontId="12" fillId="6" borderId="52" xfId="3" applyNumberFormat="1" applyFont="1" applyFill="1" applyBorder="1">
      <alignment horizontal="center" vertical="center"/>
    </xf>
    <xf numFmtId="164" fontId="12" fillId="6" borderId="49" xfId="3" applyNumberFormat="1" applyFont="1" applyFill="1" applyBorder="1">
      <alignment horizontal="center" vertical="center"/>
    </xf>
    <xf numFmtId="43" fontId="17" fillId="6" borderId="52" xfId="4" applyFont="1" applyFill="1" applyBorder="1" applyAlignment="1">
      <alignment horizontal="center" vertical="center"/>
    </xf>
    <xf numFmtId="43" fontId="17" fillId="6" borderId="48" xfId="4" applyFont="1" applyFill="1" applyBorder="1" applyAlignment="1">
      <alignment horizontal="center" vertical="center"/>
    </xf>
    <xf numFmtId="43" fontId="17" fillId="6" borderId="51" xfId="4" applyFont="1" applyFill="1" applyBorder="1" applyAlignment="1">
      <alignment horizontal="center" vertical="center"/>
    </xf>
    <xf numFmtId="0" fontId="16" fillId="0" borderId="64" xfId="3" applyFont="1" applyBorder="1" applyAlignment="1">
      <alignment horizontal="left" vertical="center" wrapText="1"/>
    </xf>
    <xf numFmtId="164" fontId="12" fillId="6" borderId="65" xfId="3" applyNumberFormat="1" applyFont="1" applyFill="1" applyBorder="1">
      <alignment horizontal="center" vertical="center"/>
    </xf>
    <xf numFmtId="164" fontId="12" fillId="6" borderId="53" xfId="3" applyNumberFormat="1" applyFont="1" applyFill="1" applyBorder="1">
      <alignment horizontal="center" vertical="center"/>
    </xf>
    <xf numFmtId="164" fontId="12" fillId="6" borderId="66" xfId="3" applyNumberFormat="1" applyFont="1" applyFill="1" applyBorder="1">
      <alignment horizontal="center" vertical="center"/>
    </xf>
    <xf numFmtId="164" fontId="12" fillId="6" borderId="67" xfId="3" applyNumberFormat="1" applyFont="1" applyFill="1" applyBorder="1">
      <alignment horizontal="center" vertical="center"/>
    </xf>
    <xf numFmtId="164" fontId="12" fillId="6" borderId="64" xfId="3" applyNumberFormat="1" applyFont="1" applyFill="1" applyBorder="1">
      <alignment horizontal="center" vertical="center"/>
    </xf>
    <xf numFmtId="0" fontId="16" fillId="10" borderId="56" xfId="3" applyFont="1" applyFill="1" applyBorder="1">
      <alignment horizontal="center" vertical="center"/>
    </xf>
    <xf numFmtId="0" fontId="16" fillId="0" borderId="57" xfId="3" applyFont="1" applyBorder="1" applyAlignment="1">
      <alignment horizontal="left" vertical="center"/>
    </xf>
    <xf numFmtId="164" fontId="16" fillId="0" borderId="58" xfId="3" applyNumberFormat="1" applyFont="1" applyBorder="1" applyAlignment="1">
      <alignment horizontal="center" vertical="center" wrapText="1"/>
    </xf>
    <xf numFmtId="164" fontId="16" fillId="0" borderId="56" xfId="3" applyNumberFormat="1" applyFont="1" applyBorder="1" applyAlignment="1">
      <alignment horizontal="center" vertical="center" wrapText="1"/>
    </xf>
    <xf numFmtId="9" fontId="20" fillId="0" borderId="59" xfId="3" applyNumberFormat="1" applyFont="1" applyBorder="1">
      <alignment horizontal="center" vertical="center"/>
    </xf>
    <xf numFmtId="164" fontId="16" fillId="0" borderId="60" xfId="3" applyNumberFormat="1" applyFont="1" applyBorder="1" applyAlignment="1">
      <alignment horizontal="center" vertical="center" wrapText="1"/>
    </xf>
    <xf numFmtId="9" fontId="20" fillId="0" borderId="57" xfId="3" applyNumberFormat="1" applyFont="1" applyBorder="1">
      <alignment horizontal="center" vertical="center"/>
    </xf>
    <xf numFmtId="4" fontId="5" fillId="0" borderId="72" xfId="0" applyNumberFormat="1" applyFont="1" applyBorder="1" applyAlignment="1">
      <alignment horizontal="center"/>
    </xf>
    <xf numFmtId="0" fontId="8" fillId="0" borderId="80" xfId="0" applyFont="1" applyBorder="1" applyAlignment="1">
      <alignment vertical="center" wrapText="1"/>
    </xf>
    <xf numFmtId="0" fontId="8" fillId="0" borderId="31" xfId="0" applyFont="1" applyBorder="1" applyAlignment="1">
      <alignment vertical="center" wrapText="1"/>
    </xf>
    <xf numFmtId="0" fontId="12" fillId="10" borderId="41" xfId="3" applyFont="1" applyFill="1" applyBorder="1" applyAlignment="1">
      <alignment horizontal="center"/>
    </xf>
    <xf numFmtId="0" fontId="12" fillId="10" borderId="100" xfId="3" applyFont="1" applyFill="1" applyBorder="1" applyAlignment="1">
      <alignment horizontal="center"/>
    </xf>
    <xf numFmtId="0" fontId="16" fillId="10" borderId="94" xfId="3" applyFont="1" applyFill="1" applyBorder="1" applyAlignment="1">
      <alignment horizontal="center" vertical="center" wrapText="1"/>
    </xf>
    <xf numFmtId="0" fontId="12" fillId="0" borderId="102" xfId="3" applyFont="1" applyBorder="1" applyAlignment="1">
      <alignment horizontal="right" vertical="center" wrapText="1"/>
    </xf>
    <xf numFmtId="0" fontId="0" fillId="6" borderId="103" xfId="0" applyFill="1" applyBorder="1" applyAlignment="1">
      <alignment vertical="center"/>
    </xf>
    <xf numFmtId="164" fontId="16" fillId="6" borderId="92" xfId="3" applyNumberFormat="1" applyFont="1" applyFill="1" applyBorder="1" applyAlignment="1">
      <alignment vertical="center"/>
    </xf>
    <xf numFmtId="164" fontId="16" fillId="6" borderId="94" xfId="3" applyNumberFormat="1" applyFont="1" applyFill="1" applyBorder="1" applyAlignment="1">
      <alignment vertical="center"/>
    </xf>
    <xf numFmtId="164" fontId="16" fillId="6" borderId="95" xfId="3" applyNumberFormat="1" applyFont="1" applyFill="1" applyBorder="1" applyAlignment="1">
      <alignment vertical="center"/>
    </xf>
    <xf numFmtId="164" fontId="16" fillId="6" borderId="96" xfId="3" applyNumberFormat="1" applyFont="1" applyFill="1" applyBorder="1" applyAlignment="1">
      <alignment vertical="center"/>
    </xf>
    <xf numFmtId="164" fontId="16" fillId="6" borderId="102" xfId="3" applyNumberFormat="1" applyFont="1" applyFill="1" applyBorder="1" applyAlignment="1">
      <alignment vertical="center"/>
    </xf>
    <xf numFmtId="0" fontId="0" fillId="6" borderId="103" xfId="0" applyFill="1" applyBorder="1"/>
    <xf numFmtId="10" fontId="0" fillId="0" borderId="104" xfId="1" applyNumberFormat="1" applyFont="1" applyBorder="1" applyAlignment="1">
      <alignment vertical="center"/>
    </xf>
    <xf numFmtId="164" fontId="17" fillId="0" borderId="49" xfId="3" applyNumberFormat="1" applyFont="1" applyBorder="1">
      <alignment horizontal="center" vertical="center"/>
    </xf>
    <xf numFmtId="10" fontId="0" fillId="0" borderId="104" xfId="1" applyNumberFormat="1" applyFont="1" applyBorder="1"/>
    <xf numFmtId="0" fontId="12" fillId="0" borderId="63" xfId="3" applyFont="1" applyBorder="1" applyAlignment="1">
      <alignment horizontal="center" vertical="center" wrapText="1"/>
    </xf>
    <xf numFmtId="172" fontId="17" fillId="0" borderId="50" xfId="3" applyNumberFormat="1" applyFont="1" applyBorder="1">
      <alignment horizontal="center" vertical="center"/>
    </xf>
    <xf numFmtId="172" fontId="17" fillId="0" borderId="48" xfId="3" applyNumberFormat="1" applyFont="1" applyBorder="1">
      <alignment horizontal="center" vertical="center"/>
    </xf>
    <xf numFmtId="172" fontId="17" fillId="0" borderId="51" xfId="3" applyNumberFormat="1" applyFont="1" applyBorder="1">
      <alignment horizontal="center" vertical="center"/>
    </xf>
    <xf numFmtId="172" fontId="17" fillId="0" borderId="52" xfId="3" applyNumberFormat="1" applyFont="1" applyBorder="1">
      <alignment horizontal="center" vertical="center"/>
    </xf>
    <xf numFmtId="172" fontId="17" fillId="0" borderId="49" xfId="3" applyNumberFormat="1" applyFont="1" applyBorder="1">
      <alignment horizontal="center" vertical="center"/>
    </xf>
    <xf numFmtId="172" fontId="0" fillId="0" borderId="104" xfId="1" applyNumberFormat="1" applyFont="1" applyBorder="1"/>
    <xf numFmtId="0" fontId="0" fillId="0" borderId="33" xfId="0" applyBorder="1"/>
    <xf numFmtId="0" fontId="12" fillId="5" borderId="34" xfId="3" applyFont="1" applyFill="1" applyBorder="1" applyAlignment="1">
      <alignment horizontal="right" vertical="center" wrapText="1"/>
    </xf>
    <xf numFmtId="0" fontId="12" fillId="10" borderId="100" xfId="3" applyFont="1" applyFill="1" applyBorder="1" applyAlignment="1">
      <alignment horizontal="center" vertical="center" wrapText="1"/>
    </xf>
    <xf numFmtId="173" fontId="17" fillId="0" borderId="50" xfId="3" applyNumberFormat="1" applyFont="1" applyBorder="1">
      <alignment horizontal="center" vertical="center"/>
    </xf>
    <xf numFmtId="173" fontId="17" fillId="0" borderId="43" xfId="4" applyNumberFormat="1" applyFont="1" applyBorder="1" applyAlignment="1">
      <alignment horizontal="center" vertical="center"/>
    </xf>
    <xf numFmtId="173" fontId="17" fillId="0" borderId="46" xfId="4" applyNumberFormat="1" applyFont="1" applyBorder="1" applyAlignment="1">
      <alignment horizontal="center" vertical="center"/>
    </xf>
    <xf numFmtId="173" fontId="17" fillId="0" borderId="47" xfId="4" applyNumberFormat="1" applyFont="1" applyBorder="1" applyAlignment="1">
      <alignment horizontal="center" vertical="center"/>
    </xf>
    <xf numFmtId="173" fontId="17" fillId="0" borderId="44" xfId="4" applyNumberFormat="1" applyFont="1" applyBorder="1" applyAlignment="1">
      <alignment horizontal="center" vertical="center"/>
    </xf>
    <xf numFmtId="174" fontId="17" fillId="0" borderId="92" xfId="4" applyNumberFormat="1" applyFont="1" applyBorder="1" applyAlignment="1">
      <alignment horizontal="center" vertical="center"/>
    </xf>
    <xf numFmtId="174" fontId="17" fillId="0" borderId="94" xfId="4" applyNumberFormat="1" applyFont="1" applyBorder="1" applyAlignment="1">
      <alignment horizontal="center" vertical="center"/>
    </xf>
    <xf numFmtId="174" fontId="17" fillId="0" borderId="95" xfId="4" applyNumberFormat="1" applyFont="1" applyBorder="1" applyAlignment="1">
      <alignment horizontal="center" vertical="center"/>
    </xf>
    <xf numFmtId="174" fontId="17" fillId="0" borderId="96" xfId="4" applyNumberFormat="1" applyFont="1" applyBorder="1" applyAlignment="1">
      <alignment horizontal="center" vertical="center"/>
    </xf>
    <xf numFmtId="173" fontId="17" fillId="0" borderId="50" xfId="4" applyNumberFormat="1" applyFont="1" applyBorder="1" applyAlignment="1">
      <alignment horizontal="center" vertical="center"/>
    </xf>
    <xf numFmtId="173" fontId="17" fillId="0" borderId="48" xfId="4" applyNumberFormat="1" applyFont="1" applyBorder="1" applyAlignment="1">
      <alignment horizontal="center" vertical="center"/>
    </xf>
    <xf numFmtId="173" fontId="17" fillId="0" borderId="51" xfId="4" applyNumberFormat="1" applyFont="1" applyBorder="1" applyAlignment="1">
      <alignment horizontal="center" vertical="center"/>
    </xf>
    <xf numFmtId="173" fontId="17" fillId="0" borderId="52" xfId="4" applyNumberFormat="1" applyFont="1" applyBorder="1" applyAlignment="1">
      <alignment horizontal="center" vertical="center"/>
    </xf>
    <xf numFmtId="173" fontId="17" fillId="0" borderId="49" xfId="4" applyNumberFormat="1" applyFont="1" applyBorder="1" applyAlignment="1">
      <alignment horizontal="center" vertical="center"/>
    </xf>
    <xf numFmtId="174" fontId="17" fillId="0" borderId="50" xfId="4" applyNumberFormat="1" applyFont="1" applyBorder="1" applyAlignment="1">
      <alignment horizontal="center" vertical="center"/>
    </xf>
    <xf numFmtId="174" fontId="17" fillId="0" borderId="48" xfId="4" applyNumberFormat="1" applyFont="1" applyBorder="1" applyAlignment="1">
      <alignment horizontal="center" vertical="center"/>
    </xf>
    <xf numFmtId="174" fontId="17" fillId="0" borderId="51" xfId="4" applyNumberFormat="1" applyFont="1" applyBorder="1" applyAlignment="1">
      <alignment horizontal="center" vertical="center"/>
    </xf>
    <xf numFmtId="174" fontId="17" fillId="0" borderId="52" xfId="4" applyNumberFormat="1" applyFont="1" applyBorder="1" applyAlignment="1">
      <alignment horizontal="center" vertical="center"/>
    </xf>
    <xf numFmtId="0" fontId="0" fillId="0" borderId="104" xfId="0" applyBorder="1" applyAlignment="1">
      <alignment vertical="center"/>
    </xf>
    <xf numFmtId="165" fontId="17" fillId="0" borderId="50" xfId="4" applyNumberFormat="1" applyFont="1" applyBorder="1" applyAlignment="1">
      <alignment horizontal="center" vertical="center"/>
    </xf>
    <xf numFmtId="165" fontId="17" fillId="0" borderId="48" xfId="4" applyNumberFormat="1" applyFont="1" applyBorder="1" applyAlignment="1">
      <alignment horizontal="center" vertical="center"/>
    </xf>
    <xf numFmtId="165" fontId="17" fillId="0" borderId="51" xfId="4" applyNumberFormat="1" applyFont="1" applyBorder="1" applyAlignment="1">
      <alignment horizontal="center" vertical="center"/>
    </xf>
    <xf numFmtId="165" fontId="17" fillId="0" borderId="52" xfId="4" applyNumberFormat="1" applyFont="1" applyBorder="1" applyAlignment="1">
      <alignment horizontal="center" vertical="center"/>
    </xf>
    <xf numFmtId="165" fontId="17" fillId="0" borderId="49" xfId="4" applyNumberFormat="1" applyFont="1" applyBorder="1" applyAlignment="1">
      <alignment horizontal="center" vertical="center"/>
    </xf>
    <xf numFmtId="0" fontId="0" fillId="0" borderId="104" xfId="0" applyBorder="1"/>
    <xf numFmtId="0" fontId="0" fillId="0" borderId="106" xfId="0" applyBorder="1" applyAlignment="1">
      <alignment vertical="center"/>
    </xf>
    <xf numFmtId="0" fontId="0" fillId="0" borderId="106" xfId="0" applyBorder="1"/>
    <xf numFmtId="0" fontId="0" fillId="0" borderId="0" xfId="0" applyAlignment="1">
      <alignment horizontal="center"/>
    </xf>
    <xf numFmtId="171" fontId="5" fillId="0" borderId="0" xfId="0" applyNumberFormat="1" applyFont="1" applyAlignment="1">
      <alignment horizontal="center" vertical="center"/>
    </xf>
    <xf numFmtId="171" fontId="8" fillId="0" borderId="0" xfId="0" applyNumberFormat="1" applyFont="1" applyAlignment="1">
      <alignment horizontal="center" vertical="center"/>
    </xf>
    <xf numFmtId="1" fontId="0" fillId="0" borderId="0" xfId="0" applyNumberFormat="1"/>
    <xf numFmtId="1" fontId="0" fillId="0" borderId="0" xfId="0" applyNumberFormat="1" applyAlignment="1">
      <alignment horizontal="right"/>
    </xf>
    <xf numFmtId="1" fontId="8" fillId="0" borderId="0" xfId="0" applyNumberFormat="1" applyFont="1" applyAlignment="1">
      <alignment horizontal="right"/>
    </xf>
    <xf numFmtId="0" fontId="0" fillId="0" borderId="18" xfId="0" applyBorder="1"/>
    <xf numFmtId="0" fontId="0" fillId="0" borderId="20" xfId="0" applyBorder="1"/>
    <xf numFmtId="0" fontId="5" fillId="0" borderId="18" xfId="0" applyFont="1" applyBorder="1" applyAlignment="1">
      <alignment horizontal="center" vertical="center"/>
    </xf>
    <xf numFmtId="0" fontId="5" fillId="0" borderId="20" xfId="0" applyFont="1" applyBorder="1" applyAlignment="1">
      <alignment horizontal="center" vertical="center"/>
    </xf>
    <xf numFmtId="0" fontId="0" fillId="3" borderId="22" xfId="0" applyFill="1" applyBorder="1" applyAlignment="1" applyProtection="1">
      <alignment horizontal="center"/>
      <protection locked="0"/>
    </xf>
    <xf numFmtId="10" fontId="0" fillId="0" borderId="18" xfId="0" applyNumberFormat="1" applyBorder="1" applyAlignment="1">
      <alignment horizontal="center" vertical="center"/>
    </xf>
    <xf numFmtId="2" fontId="5" fillId="0" borderId="79" xfId="0" applyNumberFormat="1" applyFont="1" applyBorder="1" applyAlignment="1">
      <alignment horizontal="center"/>
    </xf>
    <xf numFmtId="0" fontId="5" fillId="0" borderId="109" xfId="0" applyFont="1" applyBorder="1" applyAlignment="1">
      <alignment horizontal="center"/>
    </xf>
    <xf numFmtId="0" fontId="5" fillId="0" borderId="110" xfId="0" applyFont="1" applyBorder="1" applyAlignment="1">
      <alignment horizontal="center"/>
    </xf>
    <xf numFmtId="0" fontId="5" fillId="0" borderId="108" xfId="0" applyFont="1" applyBorder="1" applyAlignment="1">
      <alignment horizontal="center"/>
    </xf>
    <xf numFmtId="168" fontId="0" fillId="0" borderId="73" xfId="0" applyNumberFormat="1" applyBorder="1"/>
    <xf numFmtId="168" fontId="0" fillId="0" borderId="21" xfId="0" applyNumberFormat="1" applyBorder="1"/>
    <xf numFmtId="167" fontId="0" fillId="0" borderId="73" xfId="0" applyNumberFormat="1" applyBorder="1"/>
    <xf numFmtId="167" fontId="0" fillId="0" borderId="21" xfId="0" applyNumberFormat="1" applyBorder="1"/>
    <xf numFmtId="167" fontId="0" fillId="0" borderId="112" xfId="0" applyNumberFormat="1" applyBorder="1"/>
    <xf numFmtId="167" fontId="0" fillId="0" borderId="24" xfId="0" applyNumberFormat="1" applyBorder="1"/>
    <xf numFmtId="167" fontId="25" fillId="0" borderId="74" xfId="0" applyNumberFormat="1" applyFont="1" applyBorder="1"/>
    <xf numFmtId="167" fontId="25" fillId="0" borderId="75" xfId="0" applyNumberFormat="1" applyFont="1" applyBorder="1"/>
    <xf numFmtId="4" fontId="38" fillId="0" borderId="70" xfId="0" applyNumberFormat="1" applyFont="1" applyBorder="1"/>
    <xf numFmtId="0" fontId="0" fillId="5" borderId="18" xfId="0" applyFill="1" applyBorder="1"/>
    <xf numFmtId="0" fontId="0" fillId="11" borderId="0" xfId="0" applyFill="1"/>
    <xf numFmtId="1" fontId="0" fillId="0" borderId="20" xfId="0" applyNumberFormat="1" applyBorder="1"/>
    <xf numFmtId="1" fontId="8" fillId="0" borderId="0" xfId="0" applyNumberFormat="1" applyFont="1" applyAlignment="1">
      <alignment horizontal="right" vertical="center"/>
    </xf>
    <xf numFmtId="2" fontId="8" fillId="0" borderId="19" xfId="0" applyNumberFormat="1" applyFont="1" applyBorder="1" applyAlignment="1">
      <alignment horizontal="center"/>
    </xf>
    <xf numFmtId="4" fontId="0" fillId="0" borderId="0" xfId="0" applyNumberFormat="1"/>
    <xf numFmtId="167" fontId="5" fillId="0" borderId="111" xfId="0" applyNumberFormat="1" applyFont="1" applyBorder="1"/>
    <xf numFmtId="2" fontId="37" fillId="0" borderId="74" xfId="0" applyNumberFormat="1" applyFont="1" applyBorder="1"/>
    <xf numFmtId="2" fontId="37" fillId="0" borderId="75" xfId="0" applyNumberFormat="1" applyFont="1" applyBorder="1"/>
    <xf numFmtId="4" fontId="6" fillId="0" borderId="70" xfId="0" applyNumberFormat="1" applyFont="1" applyBorder="1"/>
    <xf numFmtId="4" fontId="37" fillId="0" borderId="70" xfId="0" applyNumberFormat="1" applyFont="1" applyBorder="1"/>
    <xf numFmtId="4" fontId="40" fillId="0" borderId="70" xfId="0" applyNumberFormat="1" applyFont="1" applyBorder="1"/>
    <xf numFmtId="0" fontId="8" fillId="0" borderId="81" xfId="0" applyFont="1" applyBorder="1" applyAlignment="1">
      <alignment horizontal="center"/>
    </xf>
    <xf numFmtId="166" fontId="8" fillId="0" borderId="16" xfId="0" applyNumberFormat="1" applyFont="1" applyBorder="1" applyAlignment="1">
      <alignment horizontal="center"/>
    </xf>
    <xf numFmtId="166" fontId="8" fillId="0" borderId="90" xfId="0" applyNumberFormat="1" applyFont="1" applyBorder="1" applyAlignment="1">
      <alignment horizontal="center"/>
    </xf>
    <xf numFmtId="167" fontId="5" fillId="12" borderId="19" xfId="0" applyNumberFormat="1" applyFont="1" applyFill="1" applyBorder="1"/>
    <xf numFmtId="167" fontId="30" fillId="12" borderId="18" xfId="0" applyNumberFormat="1" applyFont="1" applyFill="1" applyBorder="1" applyAlignment="1">
      <alignment wrapText="1"/>
    </xf>
    <xf numFmtId="176" fontId="5" fillId="0" borderId="19" xfId="0" applyNumberFormat="1" applyFont="1" applyBorder="1"/>
    <xf numFmtId="0" fontId="0" fillId="3" borderId="71" xfId="0" applyFill="1" applyBorder="1" applyAlignment="1" applyProtection="1">
      <alignment horizontal="center"/>
      <protection locked="0"/>
    </xf>
    <xf numFmtId="0" fontId="0" fillId="3" borderId="76" xfId="0" applyFill="1" applyBorder="1" applyAlignment="1" applyProtection="1">
      <alignment horizontal="center"/>
      <protection locked="0"/>
    </xf>
    <xf numFmtId="0" fontId="0" fillId="3" borderId="48" xfId="0" applyFill="1" applyBorder="1" applyAlignment="1" applyProtection="1">
      <alignment horizontal="center"/>
      <protection locked="0"/>
    </xf>
    <xf numFmtId="0" fontId="0" fillId="3" borderId="23" xfId="0" applyFill="1" applyBorder="1" applyAlignment="1" applyProtection="1">
      <alignment horizontal="center"/>
      <protection locked="0"/>
    </xf>
    <xf numFmtId="177" fontId="0" fillId="0" borderId="0" xfId="0" applyNumberFormat="1"/>
    <xf numFmtId="166" fontId="41" fillId="3" borderId="29" xfId="0" applyNumberFormat="1" applyFont="1" applyFill="1" applyBorder="1" applyAlignment="1" applyProtection="1">
      <alignment horizontal="center"/>
      <protection locked="0"/>
    </xf>
    <xf numFmtId="0" fontId="0" fillId="0" borderId="26" xfId="0" applyBorder="1" applyAlignment="1">
      <alignment horizontal="center"/>
    </xf>
    <xf numFmtId="175" fontId="5" fillId="0" borderId="8" xfId="0" applyNumberFormat="1" applyFont="1" applyBorder="1" applyAlignment="1">
      <alignment horizontal="center"/>
    </xf>
    <xf numFmtId="167" fontId="5" fillId="0" borderId="15" xfId="0" applyNumberFormat="1" applyFont="1" applyBorder="1"/>
    <xf numFmtId="168" fontId="0" fillId="0" borderId="32" xfId="0" applyNumberFormat="1" applyBorder="1"/>
    <xf numFmtId="168" fontId="0" fillId="0" borderId="30" xfId="0" applyNumberFormat="1" applyBorder="1"/>
    <xf numFmtId="168" fontId="0" fillId="0" borderId="114" xfId="0" applyNumberFormat="1" applyBorder="1"/>
    <xf numFmtId="168" fontId="0" fillId="0" borderId="115" xfId="0" applyNumberFormat="1" applyBorder="1"/>
    <xf numFmtId="0" fontId="8" fillId="0" borderId="117" xfId="0" applyFont="1" applyBorder="1" applyAlignment="1">
      <alignment horizontal="center"/>
    </xf>
    <xf numFmtId="0" fontId="0" fillId="3" borderId="51" xfId="0" applyFill="1" applyBorder="1" applyAlignment="1" applyProtection="1">
      <alignment horizontal="center"/>
      <protection locked="0"/>
    </xf>
    <xf numFmtId="0" fontId="0" fillId="3" borderId="118" xfId="0" applyFill="1" applyBorder="1" applyAlignment="1" applyProtection="1">
      <alignment horizontal="center"/>
      <protection locked="0"/>
    </xf>
    <xf numFmtId="0" fontId="6" fillId="3" borderId="119" xfId="0" applyFont="1" applyFill="1" applyBorder="1" applyAlignment="1">
      <alignment horizontal="center"/>
    </xf>
    <xf numFmtId="0" fontId="8" fillId="3" borderId="120" xfId="0" applyFont="1" applyFill="1" applyBorder="1" applyAlignment="1" applyProtection="1">
      <alignment horizontal="center"/>
      <protection locked="0"/>
    </xf>
    <xf numFmtId="0" fontId="5" fillId="3" borderId="122" xfId="0" applyFont="1" applyFill="1" applyBorder="1" applyAlignment="1" applyProtection="1">
      <alignment horizontal="center" vertical="center" wrapText="1"/>
      <protection locked="0"/>
    </xf>
    <xf numFmtId="0" fontId="0" fillId="3" borderId="123" xfId="0" applyFill="1" applyBorder="1" applyAlignment="1" applyProtection="1">
      <alignment horizontal="center"/>
      <protection locked="0"/>
    </xf>
    <xf numFmtId="0" fontId="0" fillId="3" borderId="119" xfId="0" applyFill="1" applyBorder="1" applyAlignment="1" applyProtection="1">
      <alignment horizontal="center"/>
      <protection locked="0"/>
    </xf>
    <xf numFmtId="0" fontId="5" fillId="0" borderId="4" xfId="0" applyFont="1" applyBorder="1" applyAlignment="1">
      <alignment horizontal="center" vertical="center" wrapText="1"/>
    </xf>
    <xf numFmtId="0" fontId="0" fillId="0" borderId="11" xfId="0" applyBorder="1" applyAlignment="1">
      <alignment horizontal="center"/>
    </xf>
    <xf numFmtId="0" fontId="0" fillId="0" borderId="18" xfId="0" applyBorder="1" applyAlignment="1">
      <alignment horizontal="center"/>
    </xf>
    <xf numFmtId="0" fontId="0" fillId="0" borderId="22" xfId="0" applyBorder="1" applyAlignment="1">
      <alignment horizontal="center"/>
    </xf>
    <xf numFmtId="0" fontId="6" fillId="0" borderId="22" xfId="0" applyFont="1" applyBorder="1" applyAlignment="1">
      <alignment horizontal="center"/>
    </xf>
    <xf numFmtId="0" fontId="5" fillId="0" borderId="124" xfId="0" applyFont="1" applyBorder="1" applyAlignment="1">
      <alignment horizontal="center" vertical="center" wrapText="1"/>
    </xf>
    <xf numFmtId="0" fontId="0" fillId="0" borderId="125" xfId="0" applyBorder="1" applyAlignment="1">
      <alignment horizontal="center"/>
    </xf>
    <xf numFmtId="0" fontId="0" fillId="0" borderId="126" xfId="0" applyBorder="1" applyAlignment="1">
      <alignment horizontal="center"/>
    </xf>
    <xf numFmtId="0" fontId="0" fillId="0" borderId="127" xfId="0" applyBorder="1" applyAlignment="1">
      <alignment horizontal="center"/>
    </xf>
    <xf numFmtId="0" fontId="6" fillId="0" borderId="127" xfId="0" applyFont="1" applyBorder="1" applyAlignment="1">
      <alignment horizontal="center"/>
    </xf>
    <xf numFmtId="0" fontId="0" fillId="0" borderId="128" xfId="0" applyBorder="1" applyAlignment="1">
      <alignment horizontal="center"/>
    </xf>
    <xf numFmtId="0" fontId="7" fillId="0" borderId="130" xfId="0" applyFont="1" applyBorder="1" applyAlignment="1">
      <alignment horizontal="center"/>
    </xf>
    <xf numFmtId="0" fontId="0" fillId="3" borderId="52" xfId="0" applyFill="1" applyBorder="1" applyAlignment="1" applyProtection="1">
      <alignment horizontal="center"/>
      <protection locked="0"/>
    </xf>
    <xf numFmtId="0" fontId="8" fillId="3" borderId="52" xfId="0" applyFont="1" applyFill="1" applyBorder="1" applyProtection="1">
      <protection locked="0"/>
    </xf>
    <xf numFmtId="178" fontId="37" fillId="13" borderId="48" xfId="0" applyNumberFormat="1" applyFont="1" applyFill="1" applyBorder="1" applyAlignment="1">
      <alignment horizontal="center"/>
    </xf>
    <xf numFmtId="0" fontId="0" fillId="0" borderId="0" xfId="0" applyAlignment="1">
      <alignment wrapText="1"/>
    </xf>
    <xf numFmtId="0" fontId="43" fillId="0" borderId="0" xfId="0" applyFont="1"/>
    <xf numFmtId="0" fontId="44" fillId="0" borderId="0" xfId="0" applyFont="1"/>
    <xf numFmtId="167" fontId="25" fillId="0" borderId="134" xfId="0" applyNumberFormat="1" applyFont="1" applyBorder="1"/>
    <xf numFmtId="167" fontId="25" fillId="0" borderId="86" xfId="0" applyNumberFormat="1" applyFont="1" applyBorder="1"/>
    <xf numFmtId="167" fontId="25" fillId="0" borderId="91" xfId="0" applyNumberFormat="1" applyFont="1" applyBorder="1"/>
    <xf numFmtId="167" fontId="25" fillId="0" borderId="135" xfId="0" applyNumberFormat="1" applyFont="1" applyBorder="1" applyAlignment="1">
      <alignment horizontal="center"/>
    </xf>
    <xf numFmtId="167" fontId="25" fillId="0" borderId="136" xfId="0" applyNumberFormat="1" applyFont="1" applyBorder="1"/>
    <xf numFmtId="167" fontId="25" fillId="0" borderId="137" xfId="0" applyNumberFormat="1" applyFont="1" applyBorder="1"/>
    <xf numFmtId="167" fontId="25" fillId="0" borderId="138" xfId="0" applyNumberFormat="1" applyFont="1" applyBorder="1"/>
    <xf numFmtId="0" fontId="8" fillId="0" borderId="139" xfId="0" applyFont="1" applyBorder="1" applyAlignment="1">
      <alignment vertical="center" wrapText="1"/>
    </xf>
    <xf numFmtId="4" fontId="30" fillId="12" borderId="18" xfId="0" applyNumberFormat="1" applyFont="1" applyFill="1" applyBorder="1" applyAlignment="1">
      <alignment wrapText="1"/>
    </xf>
    <xf numFmtId="0" fontId="0" fillId="0" borderId="90" xfId="0" applyBorder="1" applyAlignment="1">
      <alignment horizontal="center"/>
    </xf>
    <xf numFmtId="0" fontId="0" fillId="0" borderId="16" xfId="0" applyBorder="1" applyAlignment="1">
      <alignment horizontal="center"/>
    </xf>
    <xf numFmtId="0" fontId="5" fillId="0" borderId="20" xfId="0" applyFont="1" applyBorder="1"/>
    <xf numFmtId="0" fontId="5" fillId="0" borderId="143" xfId="0" applyFont="1" applyBorder="1" applyAlignment="1">
      <alignment horizontal="center"/>
    </xf>
    <xf numFmtId="166" fontId="41" fillId="3" borderId="72" xfId="0" applyNumberFormat="1" applyFont="1" applyFill="1" applyBorder="1" applyAlignment="1" applyProtection="1">
      <alignment horizontal="center"/>
      <protection locked="0"/>
    </xf>
    <xf numFmtId="168" fontId="0" fillId="3" borderId="76" xfId="0" applyNumberFormat="1" applyFill="1" applyBorder="1" applyAlignment="1">
      <alignment horizontal="center"/>
    </xf>
    <xf numFmtId="0" fontId="8" fillId="3" borderId="52" xfId="0" applyFont="1" applyFill="1" applyBorder="1" applyAlignment="1" applyProtection="1">
      <alignment horizontal="center" vertical="center"/>
      <protection locked="0"/>
    </xf>
    <xf numFmtId="0" fontId="5" fillId="0" borderId="68" xfId="0" applyFont="1" applyBorder="1" applyAlignment="1">
      <alignment horizontal="center" vertical="center" wrapText="1"/>
    </xf>
    <xf numFmtId="0" fontId="6" fillId="0" borderId="90" xfId="0" applyFont="1" applyBorder="1" applyAlignment="1">
      <alignment horizontal="center"/>
    </xf>
    <xf numFmtId="0" fontId="0" fillId="0" borderId="144" xfId="0" applyBorder="1" applyAlignment="1">
      <alignment horizontal="center"/>
    </xf>
    <xf numFmtId="0" fontId="0" fillId="0" borderId="2" xfId="0" applyBorder="1" applyAlignment="1">
      <alignment horizontal="center"/>
    </xf>
    <xf numFmtId="168" fontId="0" fillId="0" borderId="116" xfId="0" applyNumberFormat="1" applyBorder="1"/>
    <xf numFmtId="168" fontId="0" fillId="0" borderId="72" xfId="0" applyNumberFormat="1" applyBorder="1"/>
    <xf numFmtId="168" fontId="0" fillId="0" borderId="16" xfId="0" applyNumberFormat="1" applyBorder="1"/>
    <xf numFmtId="167" fontId="0" fillId="0" borderId="16" xfId="0" applyNumberFormat="1" applyBorder="1"/>
    <xf numFmtId="167" fontId="0" fillId="0" borderId="90" xfId="0" applyNumberFormat="1" applyBorder="1"/>
    <xf numFmtId="167" fontId="25" fillId="0" borderId="145" xfId="0" applyNumberFormat="1" applyFont="1" applyBorder="1"/>
    <xf numFmtId="167" fontId="25" fillId="0" borderId="146" xfId="0" applyNumberFormat="1" applyFont="1" applyBorder="1"/>
    <xf numFmtId="2" fontId="37" fillId="0" borderId="2" xfId="0" applyNumberFormat="1" applyFont="1" applyBorder="1"/>
    <xf numFmtId="167" fontId="25" fillId="0" borderId="2" xfId="0" applyNumberFormat="1" applyFont="1" applyBorder="1"/>
    <xf numFmtId="167" fontId="25" fillId="0" borderId="0" xfId="0" applyNumberFormat="1" applyFont="1"/>
    <xf numFmtId="167" fontId="0" fillId="0" borderId="0" xfId="0" applyNumberFormat="1" applyAlignment="1">
      <alignment horizontal="center" vertical="center"/>
    </xf>
    <xf numFmtId="4" fontId="37" fillId="0" borderId="0" xfId="0" applyNumberFormat="1" applyFont="1"/>
    <xf numFmtId="0" fontId="30" fillId="0" borderId="150" xfId="0" applyFont="1" applyBorder="1" applyAlignment="1">
      <alignment horizontal="center" vertical="center"/>
    </xf>
    <xf numFmtId="0" fontId="8" fillId="0" borderId="149" xfId="0" applyFont="1" applyBorder="1" applyAlignment="1">
      <alignment horizontal="left" wrapText="1"/>
    </xf>
    <xf numFmtId="0" fontId="8" fillId="0" borderId="0" xfId="0" applyFont="1" applyAlignment="1">
      <alignment horizontal="left" wrapText="1"/>
    </xf>
    <xf numFmtId="167" fontId="8" fillId="0" borderId="0" xfId="0" applyNumberFormat="1" applyFont="1"/>
    <xf numFmtId="167" fontId="8" fillId="0" borderId="76" xfId="0" applyNumberFormat="1" applyFont="1" applyBorder="1"/>
    <xf numFmtId="167" fontId="30" fillId="0" borderId="0" xfId="0" applyNumberFormat="1" applyFont="1" applyAlignment="1">
      <alignment wrapText="1"/>
    </xf>
    <xf numFmtId="4" fontId="30" fillId="0" borderId="150" xfId="0" applyNumberFormat="1" applyFont="1" applyBorder="1" applyAlignment="1">
      <alignment horizontal="right"/>
    </xf>
    <xf numFmtId="0" fontId="37" fillId="0" borderId="127" xfId="0" applyFont="1" applyBorder="1" applyAlignment="1">
      <alignment horizontal="center"/>
    </xf>
    <xf numFmtId="0" fontId="0" fillId="0" borderId="48" xfId="0" applyBorder="1"/>
    <xf numFmtId="167" fontId="5" fillId="0" borderId="20" xfId="0" applyNumberFormat="1" applyFont="1" applyBorder="1"/>
    <xf numFmtId="0" fontId="6" fillId="0" borderId="20" xfId="0" applyFont="1" applyBorder="1"/>
    <xf numFmtId="167" fontId="6" fillId="0" borderId="20" xfId="0" applyNumberFormat="1" applyFont="1" applyBorder="1"/>
    <xf numFmtId="0" fontId="0" fillId="0" borderId="53" xfId="0" applyBorder="1"/>
    <xf numFmtId="0" fontId="0" fillId="0" borderId="36" xfId="0" applyBorder="1"/>
    <xf numFmtId="0" fontId="0" fillId="0" borderId="152" xfId="0" applyBorder="1" applyAlignment="1">
      <alignment horizontal="center"/>
    </xf>
    <xf numFmtId="0" fontId="30" fillId="0" borderId="154" xfId="0" applyFont="1" applyBorder="1" applyAlignment="1">
      <alignment horizontal="center" vertical="center"/>
    </xf>
    <xf numFmtId="0" fontId="30" fillId="9" borderId="120" xfId="0" applyFont="1" applyFill="1" applyBorder="1" applyAlignment="1">
      <alignment horizontal="center" vertical="center"/>
    </xf>
    <xf numFmtId="4" fontId="30" fillId="0" borderId="120" xfId="0" applyNumberFormat="1" applyFont="1" applyBorder="1" applyAlignment="1">
      <alignment horizontal="right"/>
    </xf>
    <xf numFmtId="167" fontId="6" fillId="0" borderId="157" xfId="0" applyNumberFormat="1" applyFont="1" applyBorder="1"/>
    <xf numFmtId="167" fontId="6" fillId="0" borderId="158" xfId="0" applyNumberFormat="1" applyFont="1" applyBorder="1"/>
    <xf numFmtId="0" fontId="0" fillId="0" borderId="56" xfId="0" applyBorder="1"/>
    <xf numFmtId="167" fontId="30" fillId="0" borderId="135" xfId="0" applyNumberFormat="1" applyFont="1" applyBorder="1" applyAlignment="1">
      <alignment wrapText="1"/>
    </xf>
    <xf numFmtId="4" fontId="30" fillId="0" borderId="159" xfId="0" applyNumberFormat="1" applyFont="1" applyBorder="1" applyAlignment="1">
      <alignment horizontal="right"/>
    </xf>
    <xf numFmtId="0" fontId="8" fillId="0" borderId="160" xfId="0" applyFont="1" applyBorder="1" applyAlignment="1">
      <alignment horizontal="center" vertical="center" wrapText="1"/>
    </xf>
    <xf numFmtId="0" fontId="8" fillId="0" borderId="161" xfId="0" applyFont="1" applyBorder="1" applyAlignment="1">
      <alignment horizontal="center" vertical="center" wrapText="1"/>
    </xf>
    <xf numFmtId="0" fontId="8" fillId="0" borderId="94" xfId="0" applyFont="1" applyBorder="1" applyAlignment="1">
      <alignment horizontal="center" vertical="center" wrapText="1"/>
    </xf>
    <xf numFmtId="0" fontId="30" fillId="0" borderId="162" xfId="0" applyFont="1" applyBorder="1" applyAlignment="1">
      <alignment horizontal="center" vertical="center"/>
    </xf>
    <xf numFmtId="0" fontId="30" fillId="0" borderId="163" xfId="0" applyFont="1" applyBorder="1" applyAlignment="1">
      <alignment horizontal="center" vertical="center" wrapText="1"/>
    </xf>
    <xf numFmtId="0" fontId="30" fillId="12" borderId="120" xfId="0" applyFont="1" applyFill="1" applyBorder="1" applyAlignment="1">
      <alignment horizontal="right"/>
    </xf>
    <xf numFmtId="0" fontId="30" fillId="0" borderId="120" xfId="0" applyFont="1" applyBorder="1" applyAlignment="1">
      <alignment horizontal="right"/>
    </xf>
    <xf numFmtId="167" fontId="5" fillId="0" borderId="157" xfId="0" applyNumberFormat="1" applyFont="1" applyBorder="1"/>
    <xf numFmtId="167" fontId="5" fillId="0" borderId="158" xfId="0" applyNumberFormat="1" applyFont="1" applyBorder="1"/>
    <xf numFmtId="0" fontId="30" fillId="0" borderId="159" xfId="0" applyFont="1" applyBorder="1" applyAlignment="1">
      <alignment horizontal="right"/>
    </xf>
    <xf numFmtId="0" fontId="5" fillId="0" borderId="23" xfId="0" applyFont="1" applyBorder="1" applyAlignment="1">
      <alignment horizontal="center" wrapText="1"/>
    </xf>
    <xf numFmtId="0" fontId="5" fillId="0" borderId="71" xfId="0" applyFont="1" applyBorder="1" applyAlignment="1">
      <alignment horizontal="center"/>
    </xf>
    <xf numFmtId="0" fontId="5" fillId="0" borderId="53" xfId="0" applyFont="1" applyBorder="1" applyAlignment="1">
      <alignment horizontal="center" wrapText="1"/>
    </xf>
    <xf numFmtId="0" fontId="30" fillId="0" borderId="76" xfId="0" applyFont="1" applyBorder="1" applyAlignment="1">
      <alignment horizontal="center" vertical="center"/>
    </xf>
    <xf numFmtId="0" fontId="30" fillId="0" borderId="165" xfId="0" applyFont="1" applyBorder="1" applyAlignment="1">
      <alignment horizontal="center" vertical="center" wrapText="1"/>
    </xf>
    <xf numFmtId="0" fontId="30" fillId="0" borderId="152" xfId="0" applyFont="1" applyBorder="1" applyAlignment="1">
      <alignment horizontal="center"/>
    </xf>
    <xf numFmtId="167" fontId="30" fillId="0" borderId="48" xfId="0" applyNumberFormat="1" applyFont="1" applyBorder="1" applyAlignment="1">
      <alignment wrapText="1"/>
    </xf>
    <xf numFmtId="167" fontId="8" fillId="0" borderId="94" xfId="0" applyNumberFormat="1" applyFont="1" applyBorder="1"/>
    <xf numFmtId="0" fontId="0" fillId="0" borderId="94" xfId="0" applyBorder="1"/>
    <xf numFmtId="167" fontId="30" fillId="0" borderId="94" xfId="0" applyNumberFormat="1" applyFont="1" applyBorder="1" applyAlignment="1">
      <alignment wrapText="1"/>
    </xf>
    <xf numFmtId="4" fontId="30" fillId="0" borderId="95" xfId="0" applyNumberFormat="1" applyFont="1" applyBorder="1" applyAlignment="1">
      <alignment horizontal="right"/>
    </xf>
    <xf numFmtId="0" fontId="8" fillId="0" borderId="58" xfId="0" applyFont="1" applyBorder="1" applyAlignment="1">
      <alignment horizontal="left" wrapText="1"/>
    </xf>
    <xf numFmtId="0" fontId="8" fillId="0" borderId="56" xfId="0" applyFont="1" applyBorder="1" applyAlignment="1">
      <alignment horizontal="left" wrapText="1"/>
    </xf>
    <xf numFmtId="167" fontId="8" fillId="0" borderId="56" xfId="0" applyNumberFormat="1" applyFont="1" applyBorder="1"/>
    <xf numFmtId="167" fontId="30" fillId="0" borderId="56" xfId="0" applyNumberFormat="1" applyFont="1" applyBorder="1" applyAlignment="1">
      <alignment wrapText="1"/>
    </xf>
    <xf numFmtId="4" fontId="30" fillId="0" borderId="59" xfId="0" applyNumberFormat="1" applyFont="1" applyBorder="1" applyAlignment="1">
      <alignment horizontal="right"/>
    </xf>
    <xf numFmtId="0" fontId="0" fillId="0" borderId="48" xfId="0" applyBorder="1" applyAlignment="1">
      <alignment horizontal="center" vertical="center"/>
    </xf>
    <xf numFmtId="167" fontId="0" fillId="0" borderId="48" xfId="0" applyNumberFormat="1" applyBorder="1"/>
    <xf numFmtId="0" fontId="0" fillId="9" borderId="48" xfId="0" applyFill="1" applyBorder="1"/>
    <xf numFmtId="170" fontId="0" fillId="0" borderId="48" xfId="0" applyNumberFormat="1" applyBorder="1"/>
    <xf numFmtId="0" fontId="0" fillId="0" borderId="94" xfId="0" applyBorder="1" applyAlignment="1">
      <alignment horizontal="center"/>
    </xf>
    <xf numFmtId="0" fontId="30" fillId="0" borderId="95" xfId="0" applyFont="1" applyBorder="1" applyAlignment="1">
      <alignment horizontal="center" vertical="center"/>
    </xf>
    <xf numFmtId="0" fontId="0" fillId="9" borderId="51" xfId="0" applyFill="1" applyBorder="1"/>
    <xf numFmtId="4" fontId="30" fillId="0" borderId="51" xfId="0" applyNumberFormat="1" applyFont="1" applyBorder="1" applyAlignment="1">
      <alignment horizontal="center"/>
    </xf>
    <xf numFmtId="0" fontId="0" fillId="9" borderId="56" xfId="0" applyFill="1" applyBorder="1"/>
    <xf numFmtId="4" fontId="30" fillId="0" borderId="59" xfId="0" applyNumberFormat="1" applyFont="1" applyBorder="1" applyAlignment="1">
      <alignment horizontal="center"/>
    </xf>
    <xf numFmtId="0" fontId="0" fillId="0" borderId="13" xfId="0" applyBorder="1"/>
    <xf numFmtId="0" fontId="0" fillId="0" borderId="71" xfId="0" applyBorder="1"/>
    <xf numFmtId="0" fontId="6" fillId="0" borderId="71" xfId="0" applyFont="1" applyBorder="1"/>
    <xf numFmtId="0" fontId="0" fillId="0" borderId="166" xfId="0" applyBorder="1"/>
    <xf numFmtId="0" fontId="5" fillId="0" borderId="87" xfId="0" applyFont="1" applyBorder="1" applyAlignment="1">
      <alignment horizontal="center" vertical="center" wrapText="1"/>
    </xf>
    <xf numFmtId="1" fontId="0" fillId="0" borderId="48" xfId="0" applyNumberFormat="1" applyBorder="1" applyAlignment="1">
      <alignment wrapText="1"/>
    </xf>
    <xf numFmtId="0" fontId="0" fillId="0" borderId="48" xfId="0" applyBorder="1" applyProtection="1">
      <protection locked="0"/>
    </xf>
    <xf numFmtId="0" fontId="0" fillId="0" borderId="48" xfId="0" applyBorder="1" applyAlignment="1">
      <alignment horizontal="right"/>
    </xf>
    <xf numFmtId="0" fontId="0" fillId="5" borderId="48" xfId="0" applyFill="1" applyBorder="1" applyAlignment="1">
      <alignment horizontal="center" vertical="center"/>
    </xf>
    <xf numFmtId="0" fontId="0" fillId="5" borderId="48" xfId="0" applyFill="1" applyBorder="1"/>
    <xf numFmtId="0" fontId="0" fillId="5" borderId="48" xfId="0" applyFill="1" applyBorder="1" applyAlignment="1">
      <alignment horizontal="center"/>
    </xf>
    <xf numFmtId="0" fontId="0" fillId="12" borderId="48" xfId="0" applyFill="1" applyBorder="1" applyAlignment="1">
      <alignment horizontal="center"/>
    </xf>
    <xf numFmtId="0" fontId="0" fillId="12" borderId="48" xfId="0" applyFill="1" applyBorder="1"/>
    <xf numFmtId="167" fontId="5" fillId="12" borderId="23" xfId="0" applyNumberFormat="1" applyFont="1" applyFill="1" applyBorder="1"/>
    <xf numFmtId="167" fontId="5" fillId="12" borderId="71" xfId="0" applyNumberFormat="1" applyFont="1" applyFill="1" applyBorder="1"/>
    <xf numFmtId="167" fontId="5" fillId="7" borderId="27" xfId="0" applyNumberFormat="1" applyFont="1" applyFill="1" applyBorder="1"/>
    <xf numFmtId="167" fontId="5" fillId="7" borderId="29" xfId="0" applyNumberFormat="1" applyFont="1" applyFill="1" applyBorder="1"/>
    <xf numFmtId="0" fontId="5" fillId="7" borderId="48" xfId="0" applyFont="1" applyFill="1" applyBorder="1" applyAlignment="1">
      <alignment wrapText="1"/>
    </xf>
    <xf numFmtId="4" fontId="5" fillId="7" borderId="48" xfId="0" applyNumberFormat="1" applyFont="1" applyFill="1" applyBorder="1" applyAlignment="1">
      <alignment wrapText="1"/>
    </xf>
    <xf numFmtId="167" fontId="5" fillId="0" borderId="23" xfId="0" applyNumberFormat="1" applyFont="1" applyBorder="1"/>
    <xf numFmtId="167" fontId="5" fillId="0" borderId="71" xfId="0" applyNumberFormat="1" applyFont="1" applyBorder="1"/>
    <xf numFmtId="167" fontId="30" fillId="0" borderId="22" xfId="0" applyNumberFormat="1" applyFont="1" applyBorder="1" applyAlignment="1">
      <alignment wrapText="1"/>
    </xf>
    <xf numFmtId="0" fontId="30" fillId="0" borderId="119" xfId="0" applyFont="1" applyBorder="1" applyAlignment="1">
      <alignment horizontal="right"/>
    </xf>
    <xf numFmtId="167" fontId="0" fillId="3" borderId="48" xfId="0" applyNumberFormat="1" applyFill="1" applyBorder="1" applyProtection="1">
      <protection locked="0"/>
    </xf>
    <xf numFmtId="0" fontId="37" fillId="0" borderId="0" xfId="0" applyFont="1"/>
    <xf numFmtId="167" fontId="41" fillId="0" borderId="0" xfId="0" applyNumberFormat="1" applyFont="1" applyProtection="1">
      <protection locked="0"/>
    </xf>
    <xf numFmtId="0" fontId="41" fillId="0" borderId="0" xfId="0" applyFont="1" applyProtection="1">
      <protection locked="0"/>
    </xf>
    <xf numFmtId="2" fontId="41" fillId="0" borderId="0" xfId="0" applyNumberFormat="1" applyFont="1" applyProtection="1">
      <protection locked="0"/>
    </xf>
    <xf numFmtId="0" fontId="49" fillId="0" borderId="48" xfId="0" applyFont="1" applyBorder="1"/>
    <xf numFmtId="0" fontId="49" fillId="0" borderId="48" xfId="0" applyFont="1" applyBorder="1" applyAlignment="1">
      <alignment horizontal="center" vertical="center"/>
    </xf>
    <xf numFmtId="0" fontId="0" fillId="4" borderId="0" xfId="0" quotePrefix="1" applyFill="1" applyAlignment="1">
      <alignment horizontal="center" vertical="center"/>
    </xf>
    <xf numFmtId="167" fontId="5" fillId="4" borderId="111" xfId="0" applyNumberFormat="1" applyFont="1" applyFill="1" applyBorder="1"/>
    <xf numFmtId="167" fontId="0" fillId="4" borderId="73" xfId="0" applyNumberFormat="1" applyFill="1" applyBorder="1"/>
    <xf numFmtId="167" fontId="0" fillId="4" borderId="16" xfId="0" applyNumberFormat="1" applyFill="1" applyBorder="1"/>
    <xf numFmtId="167" fontId="0" fillId="4" borderId="21" xfId="0" applyNumberFormat="1" applyFill="1" applyBorder="1"/>
    <xf numFmtId="0" fontId="0" fillId="4" borderId="0" xfId="0" applyFill="1"/>
    <xf numFmtId="167" fontId="25" fillId="4" borderId="74" xfId="0" applyNumberFormat="1" applyFont="1" applyFill="1" applyBorder="1"/>
    <xf numFmtId="167" fontId="25" fillId="4" borderId="2" xfId="0" applyNumberFormat="1" applyFont="1" applyFill="1" applyBorder="1"/>
    <xf numFmtId="167" fontId="25" fillId="4" borderId="75" xfId="0" applyNumberFormat="1" applyFont="1" applyFill="1" applyBorder="1"/>
    <xf numFmtId="167" fontId="25" fillId="4" borderId="79" xfId="0" applyNumberFormat="1" applyFont="1" applyFill="1" applyBorder="1"/>
    <xf numFmtId="10" fontId="0" fillId="4" borderId="85" xfId="0" applyNumberFormat="1" applyFill="1" applyBorder="1" applyAlignment="1">
      <alignment horizontal="center" vertical="center"/>
    </xf>
    <xf numFmtId="4" fontId="37" fillId="4" borderId="134" xfId="0" applyNumberFormat="1" applyFont="1" applyFill="1" applyBorder="1"/>
    <xf numFmtId="2" fontId="37" fillId="4" borderId="53" xfId="0" applyNumberFormat="1" applyFont="1" applyFill="1" applyBorder="1" applyAlignment="1">
      <alignment horizontal="center" vertical="center"/>
    </xf>
    <xf numFmtId="4" fontId="37" fillId="4" borderId="148" xfId="0" applyNumberFormat="1" applyFont="1" applyFill="1" applyBorder="1"/>
    <xf numFmtId="179" fontId="45" fillId="4" borderId="171" xfId="5" applyNumberFormat="1" applyFont="1" applyFill="1" applyBorder="1" applyAlignment="1">
      <alignment horizontal="center" vertical="center"/>
    </xf>
    <xf numFmtId="179" fontId="45" fillId="4" borderId="172" xfId="5" applyNumberFormat="1" applyFont="1" applyFill="1" applyBorder="1" applyAlignment="1">
      <alignment horizontal="center" vertical="center"/>
    </xf>
    <xf numFmtId="179" fontId="45" fillId="4" borderId="173" xfId="5" applyNumberFormat="1" applyFont="1" applyFill="1" applyBorder="1" applyAlignment="1">
      <alignment horizontal="center" vertical="center"/>
    </xf>
    <xf numFmtId="4" fontId="37" fillId="4" borderId="174" xfId="0" applyNumberFormat="1" applyFont="1" applyFill="1" applyBorder="1"/>
    <xf numFmtId="179" fontId="45" fillId="4" borderId="175" xfId="5" applyNumberFormat="1" applyFont="1" applyFill="1" applyBorder="1" applyAlignment="1">
      <alignment horizontal="center" vertical="center"/>
    </xf>
    <xf numFmtId="179" fontId="45" fillId="4" borderId="176" xfId="5" applyNumberFormat="1" applyFont="1" applyFill="1" applyBorder="1" applyAlignment="1">
      <alignment horizontal="center" vertical="center"/>
    </xf>
    <xf numFmtId="179" fontId="45" fillId="4" borderId="177" xfId="5" applyNumberFormat="1" applyFont="1" applyFill="1" applyBorder="1" applyAlignment="1">
      <alignment horizontal="center" vertical="center"/>
    </xf>
    <xf numFmtId="4" fontId="37" fillId="4" borderId="178" xfId="0" applyNumberFormat="1" applyFont="1" applyFill="1" applyBorder="1"/>
    <xf numFmtId="179" fontId="45" fillId="4" borderId="179" xfId="5" applyNumberFormat="1" applyFont="1" applyFill="1" applyBorder="1" applyAlignment="1">
      <alignment horizontal="center" vertical="center"/>
    </xf>
    <xf numFmtId="179" fontId="45" fillId="4" borderId="180" xfId="5" applyNumberFormat="1" applyFont="1" applyFill="1" applyBorder="1" applyAlignment="1">
      <alignment horizontal="center" vertical="center"/>
    </xf>
    <xf numFmtId="179" fontId="45" fillId="4" borderId="181" xfId="5" applyNumberFormat="1" applyFont="1" applyFill="1" applyBorder="1" applyAlignment="1">
      <alignment horizontal="center" vertical="center"/>
    </xf>
    <xf numFmtId="179" fontId="45" fillId="4" borderId="182" xfId="5" applyNumberFormat="1" applyFont="1" applyFill="1" applyBorder="1" applyAlignment="1">
      <alignment horizontal="center" vertical="center"/>
    </xf>
    <xf numFmtId="179" fontId="45" fillId="4" borderId="183" xfId="5" applyNumberFormat="1" applyFont="1" applyFill="1" applyBorder="1" applyAlignment="1">
      <alignment horizontal="center" vertical="center"/>
    </xf>
    <xf numFmtId="179" fontId="45" fillId="4" borderId="184" xfId="5" applyNumberFormat="1" applyFont="1" applyFill="1" applyBorder="1" applyAlignment="1">
      <alignment horizontal="center" vertical="center"/>
    </xf>
    <xf numFmtId="10" fontId="0" fillId="4" borderId="129" xfId="0" applyNumberFormat="1" applyFill="1" applyBorder="1" applyAlignment="1">
      <alignment horizontal="center" vertical="center"/>
    </xf>
    <xf numFmtId="2" fontId="37" fillId="4" borderId="185" xfId="0" applyNumberFormat="1" applyFont="1" applyFill="1" applyBorder="1" applyAlignment="1">
      <alignment horizontal="center" vertical="center"/>
    </xf>
    <xf numFmtId="167" fontId="0" fillId="0" borderId="186" xfId="0" applyNumberFormat="1" applyBorder="1" applyAlignment="1">
      <alignment horizontal="center" vertical="center"/>
    </xf>
    <xf numFmtId="167" fontId="0" fillId="0" borderId="187" xfId="0" applyNumberFormat="1" applyBorder="1" applyAlignment="1">
      <alignment horizontal="center" vertical="center"/>
    </xf>
    <xf numFmtId="167" fontId="0" fillId="0" borderId="188" xfId="0" applyNumberFormat="1" applyBorder="1" applyAlignment="1">
      <alignment horizontal="center" vertical="center"/>
    </xf>
    <xf numFmtId="167" fontId="46" fillId="5" borderId="181" xfId="0" applyNumberFormat="1" applyFont="1" applyFill="1" applyBorder="1" applyAlignment="1">
      <alignment horizontal="center" vertical="center"/>
    </xf>
    <xf numFmtId="167" fontId="0" fillId="5" borderId="191" xfId="0" applyNumberFormat="1" applyFill="1" applyBorder="1" applyAlignment="1">
      <alignment horizontal="center" vertical="center"/>
    </xf>
    <xf numFmtId="0" fontId="2" fillId="14" borderId="49" xfId="0" applyFont="1" applyFill="1" applyBorder="1" applyAlignment="1">
      <alignment horizontal="center" vertical="top" wrapText="1"/>
    </xf>
    <xf numFmtId="0" fontId="2" fillId="14" borderId="54" xfId="0" applyFont="1" applyFill="1" applyBorder="1" applyAlignment="1">
      <alignment horizontal="center" vertical="top" wrapText="1"/>
    </xf>
    <xf numFmtId="0" fontId="2" fillId="14" borderId="52" xfId="0" applyFont="1" applyFill="1" applyBorder="1" applyAlignment="1">
      <alignment horizontal="center" vertical="top" wrapText="1"/>
    </xf>
    <xf numFmtId="4" fontId="37" fillId="0" borderId="16" xfId="0" applyNumberFormat="1" applyFont="1" applyBorder="1" applyAlignment="1">
      <alignment horizontal="center" vertical="center"/>
    </xf>
    <xf numFmtId="4" fontId="37" fillId="0" borderId="147" xfId="0" applyNumberFormat="1" applyFont="1" applyBorder="1" applyAlignment="1">
      <alignment horizontal="center" vertical="center"/>
    </xf>
    <xf numFmtId="2" fontId="37" fillId="0" borderId="90" xfId="0" applyNumberFormat="1" applyFont="1" applyBorder="1" applyAlignment="1">
      <alignment horizontal="center" vertical="center"/>
    </xf>
    <xf numFmtId="2" fontId="37" fillId="0" borderId="148" xfId="0" applyNumberFormat="1" applyFont="1" applyBorder="1" applyAlignment="1">
      <alignment horizontal="center" vertical="center"/>
    </xf>
    <xf numFmtId="0" fontId="37" fillId="0" borderId="15" xfId="0" applyFont="1" applyBorder="1" applyAlignment="1">
      <alignment horizontal="center"/>
    </xf>
    <xf numFmtId="0" fontId="37" fillId="0" borderId="16" xfId="0" applyFont="1" applyBorder="1" applyAlignment="1">
      <alignment horizontal="center"/>
    </xf>
    <xf numFmtId="0" fontId="37" fillId="0" borderId="170" xfId="0" applyFont="1" applyBorder="1" applyAlignment="1">
      <alignment horizontal="center"/>
    </xf>
    <xf numFmtId="0" fontId="8" fillId="0" borderId="80"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32" xfId="0" applyFont="1" applyBorder="1" applyAlignment="1">
      <alignment horizontal="center" vertical="center" wrapText="1"/>
    </xf>
    <xf numFmtId="0" fontId="37" fillId="0" borderId="140" xfId="0" applyFont="1" applyBorder="1" applyAlignment="1">
      <alignment horizontal="left"/>
    </xf>
    <xf numFmtId="0" fontId="37" fillId="0" borderId="141" xfId="0" applyFont="1" applyBorder="1" applyAlignment="1">
      <alignment horizontal="left"/>
    </xf>
    <xf numFmtId="167" fontId="25" fillId="14" borderId="142" xfId="0" applyNumberFormat="1" applyFont="1" applyFill="1" applyBorder="1" applyAlignment="1">
      <alignment horizontal="center" shrinkToFit="1"/>
    </xf>
    <xf numFmtId="167" fontId="25" fillId="14" borderId="68" xfId="0" applyNumberFormat="1" applyFont="1" applyFill="1" applyBorder="1" applyAlignment="1">
      <alignment horizontal="center" shrinkToFit="1"/>
    </xf>
    <xf numFmtId="167" fontId="25" fillId="14" borderId="89" xfId="0" applyNumberFormat="1" applyFont="1" applyFill="1" applyBorder="1" applyAlignment="1">
      <alignment horizontal="center" shrinkToFit="1"/>
    </xf>
    <xf numFmtId="0" fontId="6" fillId="0" borderId="155" xfId="0" applyFont="1" applyBorder="1"/>
    <xf numFmtId="0" fontId="6" fillId="0" borderId="16" xfId="0" applyFont="1" applyBorder="1"/>
    <xf numFmtId="0" fontId="6" fillId="0" borderId="18" xfId="0" applyFont="1" applyBorder="1"/>
    <xf numFmtId="0" fontId="5" fillId="7" borderId="155" xfId="0" applyFont="1" applyFill="1" applyBorder="1" applyAlignment="1">
      <alignment wrapText="1"/>
    </xf>
    <xf numFmtId="0" fontId="5" fillId="7" borderId="16" xfId="0" applyFont="1" applyFill="1" applyBorder="1" applyAlignment="1">
      <alignment wrapText="1"/>
    </xf>
    <xf numFmtId="0" fontId="5" fillId="7" borderId="18" xfId="0" applyFont="1" applyFill="1" applyBorder="1" applyAlignment="1">
      <alignment wrapText="1"/>
    </xf>
    <xf numFmtId="0" fontId="5" fillId="0" borderId="155" xfId="0" applyFont="1" applyBorder="1"/>
    <xf numFmtId="0" fontId="5" fillId="0" borderId="16" xfId="0" applyFont="1" applyBorder="1"/>
    <xf numFmtId="0" fontId="5" fillId="0" borderId="18" xfId="0" applyFont="1" applyBorder="1"/>
    <xf numFmtId="0" fontId="5" fillId="12" borderId="155" xfId="0" applyFont="1" applyFill="1" applyBorder="1" applyAlignment="1">
      <alignment wrapText="1"/>
    </xf>
    <xf numFmtId="0" fontId="5" fillId="12" borderId="16" xfId="0" applyFont="1" applyFill="1" applyBorder="1" applyAlignment="1">
      <alignment wrapText="1"/>
    </xf>
    <xf numFmtId="0" fontId="5" fillId="12" borderId="18" xfId="0" applyFont="1" applyFill="1" applyBorder="1" applyAlignment="1">
      <alignment wrapText="1"/>
    </xf>
    <xf numFmtId="0" fontId="5" fillId="0" borderId="151" xfId="0" applyFont="1" applyBorder="1" applyAlignment="1">
      <alignment horizontal="center"/>
    </xf>
    <xf numFmtId="0" fontId="5" fillId="0" borderId="152" xfId="0" applyFont="1" applyBorder="1" applyAlignment="1">
      <alignment horizontal="center"/>
    </xf>
    <xf numFmtId="0" fontId="5" fillId="0" borderId="151" xfId="0" applyFont="1" applyBorder="1" applyAlignment="1">
      <alignment horizontal="center" vertical="center"/>
    </xf>
    <xf numFmtId="0" fontId="5" fillId="0" borderId="152" xfId="0" applyFont="1" applyBorder="1" applyAlignment="1">
      <alignment horizontal="center" vertical="center"/>
    </xf>
    <xf numFmtId="0" fontId="5" fillId="0" borderId="153" xfId="0" applyFont="1" applyBorder="1" applyAlignment="1">
      <alignment horizontal="center" vertical="center"/>
    </xf>
    <xf numFmtId="0" fontId="37" fillId="0" borderId="131" xfId="0" applyFont="1" applyBorder="1" applyAlignment="1">
      <alignment horizontal="center"/>
    </xf>
    <xf numFmtId="0" fontId="37" fillId="0" borderId="15" xfId="0" applyFont="1" applyBorder="1" applyAlignment="1">
      <alignment horizontal="left"/>
    </xf>
    <xf numFmtId="0" fontId="37" fillId="0" borderId="16" xfId="0" applyFont="1" applyBorder="1" applyAlignment="1">
      <alignment horizontal="left"/>
    </xf>
    <xf numFmtId="0" fontId="37" fillId="0" borderId="17" xfId="0" applyFont="1" applyBorder="1" applyAlignment="1">
      <alignment horizontal="left"/>
    </xf>
    <xf numFmtId="0" fontId="5" fillId="0" borderId="164" xfId="0" applyFont="1" applyBorder="1" applyAlignment="1">
      <alignment horizontal="center" vertical="center"/>
    </xf>
    <xf numFmtId="0" fontId="5" fillId="0" borderId="90" xfId="0" applyFont="1" applyBorder="1" applyAlignment="1">
      <alignment horizontal="center" vertical="center"/>
    </xf>
    <xf numFmtId="0" fontId="5" fillId="0" borderId="22" xfId="0" applyFont="1" applyBorder="1" applyAlignment="1">
      <alignment horizontal="center" vertical="center"/>
    </xf>
    <xf numFmtId="0" fontId="5" fillId="0" borderId="80"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86" xfId="0" applyFont="1" applyBorder="1" applyAlignment="1">
      <alignment horizontal="center" vertical="center" wrapText="1"/>
    </xf>
    <xf numFmtId="0" fontId="31" fillId="0" borderId="155" xfId="0" applyFont="1" applyBorder="1" applyAlignment="1">
      <alignment wrapText="1"/>
    </xf>
    <xf numFmtId="0" fontId="31" fillId="0" borderId="16" xfId="0" applyFont="1" applyBorder="1" applyAlignment="1">
      <alignment wrapText="1"/>
    </xf>
    <xf numFmtId="0" fontId="31" fillId="0" borderId="18" xfId="0" applyFont="1" applyBorder="1" applyAlignment="1">
      <alignment wrapText="1"/>
    </xf>
    <xf numFmtId="0" fontId="5" fillId="0" borderId="156" xfId="0" applyFont="1" applyBorder="1"/>
    <xf numFmtId="0" fontId="5" fillId="0" borderId="145" xfId="0" applyFont="1" applyBorder="1"/>
    <xf numFmtId="0" fontId="5" fillId="0" borderId="135" xfId="0" applyFont="1" applyBorder="1"/>
    <xf numFmtId="0" fontId="32" fillId="0" borderId="151" xfId="0" applyFont="1" applyBorder="1" applyAlignment="1">
      <alignment horizontal="center"/>
    </xf>
    <xf numFmtId="0" fontId="32" fillId="0" borderId="152" xfId="0" applyFont="1" applyBorder="1" applyAlignment="1">
      <alignment horizontal="center"/>
    </xf>
    <xf numFmtId="0" fontId="32" fillId="0" borderId="153" xfId="0" applyFont="1" applyBorder="1" applyAlignment="1">
      <alignment horizontal="center"/>
    </xf>
    <xf numFmtId="0" fontId="29" fillId="0" borderId="3" xfId="0" applyFont="1" applyBorder="1" applyAlignment="1">
      <alignment horizontal="center" vertical="center"/>
    </xf>
    <xf numFmtId="0" fontId="29" fillId="0" borderId="68" xfId="0" applyFont="1" applyBorder="1" applyAlignment="1">
      <alignment horizontal="center" vertical="center"/>
    </xf>
    <xf numFmtId="0" fontId="29" fillId="0" borderId="89" xfId="0" applyFont="1" applyBorder="1" applyAlignment="1">
      <alignment horizontal="center" vertical="center"/>
    </xf>
    <xf numFmtId="0" fontId="0" fillId="0" borderId="13" xfId="0" applyBorder="1" applyAlignment="1">
      <alignment wrapText="1"/>
    </xf>
    <xf numFmtId="0" fontId="0" fillId="0" borderId="10" xfId="0" applyBorder="1" applyAlignment="1">
      <alignment wrapText="1"/>
    </xf>
    <xf numFmtId="168" fontId="8" fillId="0" borderId="88" xfId="0" applyNumberFormat="1" applyFont="1" applyBorder="1" applyAlignment="1">
      <alignment horizontal="center"/>
    </xf>
    <xf numFmtId="0" fontId="28" fillId="0" borderId="8" xfId="0" applyFont="1" applyBorder="1"/>
    <xf numFmtId="0" fontId="28" fillId="0" borderId="9" xfId="0" applyFont="1" applyBorder="1"/>
    <xf numFmtId="0" fontId="5" fillId="0" borderId="77" xfId="0" applyFont="1" applyBorder="1"/>
    <xf numFmtId="0" fontId="5" fillId="0" borderId="2" xfId="0" applyFont="1" applyBorder="1"/>
    <xf numFmtId="0" fontId="25" fillId="4" borderId="33" xfId="0" applyFont="1" applyFill="1" applyBorder="1"/>
    <xf numFmtId="0" fontId="25" fillId="4" borderId="34" xfId="0" applyFont="1" applyFill="1" applyBorder="1"/>
    <xf numFmtId="0" fontId="25" fillId="4" borderId="168" xfId="0" applyFont="1" applyFill="1" applyBorder="1"/>
    <xf numFmtId="0" fontId="25" fillId="4" borderId="169" xfId="0" applyFont="1" applyFill="1" applyBorder="1"/>
    <xf numFmtId="0" fontId="33" fillId="0" borderId="58" xfId="0" applyFont="1" applyBorder="1" applyAlignment="1">
      <alignment horizontal="center"/>
    </xf>
    <xf numFmtId="0" fontId="33" fillId="0" borderId="56" xfId="0" applyFont="1" applyBorder="1" applyAlignment="1">
      <alignment horizontal="center"/>
    </xf>
    <xf numFmtId="0" fontId="6" fillId="0" borderId="155" xfId="0" applyFont="1" applyBorder="1" applyAlignment="1">
      <alignment wrapText="1"/>
    </xf>
    <xf numFmtId="0" fontId="6" fillId="0" borderId="16" xfId="0" applyFont="1" applyBorder="1" applyAlignment="1">
      <alignment wrapText="1"/>
    </xf>
    <xf numFmtId="0" fontId="6" fillId="0" borderId="18" xfId="0" applyFont="1" applyBorder="1" applyAlignment="1">
      <alignment wrapText="1"/>
    </xf>
    <xf numFmtId="0" fontId="6" fillId="0" borderId="156" xfId="0" applyFont="1" applyBorder="1" applyAlignment="1">
      <alignment wrapText="1"/>
    </xf>
    <xf numFmtId="0" fontId="6" fillId="0" borderId="145" xfId="0" applyFont="1" applyBorder="1" applyAlignment="1">
      <alignment wrapText="1"/>
    </xf>
    <xf numFmtId="0" fontId="6" fillId="0" borderId="135" xfId="0" applyFont="1" applyBorder="1" applyAlignment="1">
      <alignment wrapText="1"/>
    </xf>
    <xf numFmtId="0" fontId="8" fillId="0" borderId="92" xfId="0" applyFont="1" applyBorder="1" applyAlignment="1">
      <alignment horizontal="left" wrapText="1"/>
    </xf>
    <xf numFmtId="0" fontId="8" fillId="0" borderId="94" xfId="0" applyFont="1" applyBorder="1" applyAlignment="1">
      <alignment horizontal="left" wrapText="1"/>
    </xf>
    <xf numFmtId="0" fontId="5" fillId="0" borderId="92" xfId="0" applyFont="1" applyBorder="1" applyAlignment="1">
      <alignment horizontal="center"/>
    </xf>
    <xf numFmtId="0" fontId="5" fillId="0" borderId="94" xfId="0" applyFont="1" applyBorder="1" applyAlignment="1">
      <alignment horizontal="center"/>
    </xf>
    <xf numFmtId="0" fontId="0" fillId="0" borderId="50" xfId="0" applyBorder="1" applyAlignment="1">
      <alignment horizontal="center" vertical="center"/>
    </xf>
    <xf numFmtId="0" fontId="0" fillId="0" borderId="48" xfId="0" applyBorder="1" applyAlignment="1">
      <alignment horizontal="center" vertical="center"/>
    </xf>
    <xf numFmtId="0" fontId="0" fillId="15" borderId="50" xfId="0" applyFill="1" applyBorder="1" applyAlignment="1">
      <alignment horizontal="center" vertical="center"/>
    </xf>
    <xf numFmtId="0" fontId="0" fillId="15" borderId="48" xfId="0" applyFill="1" applyBorder="1" applyAlignment="1">
      <alignment horizontal="center" vertical="center"/>
    </xf>
    <xf numFmtId="0" fontId="25" fillId="0" borderId="50" xfId="0" applyFont="1" applyBorder="1" applyAlignment="1">
      <alignment horizontal="center"/>
    </xf>
    <xf numFmtId="0" fontId="25" fillId="0" borderId="48" xfId="0" applyFont="1" applyBorder="1" applyAlignment="1">
      <alignment horizontal="center"/>
    </xf>
    <xf numFmtId="0" fontId="8" fillId="0" borderId="149" xfId="0" applyFont="1" applyBorder="1" applyAlignment="1">
      <alignment horizontal="center"/>
    </xf>
    <xf numFmtId="0" fontId="8" fillId="0" borderId="0" xfId="0" applyFont="1" applyAlignment="1">
      <alignment horizontal="center"/>
    </xf>
    <xf numFmtId="167" fontId="28" fillId="0" borderId="57" xfId="0" applyNumberFormat="1" applyFont="1" applyBorder="1" applyAlignment="1">
      <alignment horizontal="center"/>
    </xf>
    <xf numFmtId="167" fontId="28" fillId="0" borderId="62" xfId="0" applyNumberFormat="1" applyFont="1" applyBorder="1" applyAlignment="1">
      <alignment horizontal="center"/>
    </xf>
    <xf numFmtId="167" fontId="28" fillId="0" borderId="60" xfId="0" applyNumberFormat="1" applyFont="1" applyBorder="1" applyAlignment="1">
      <alignment horizontal="center"/>
    </xf>
    <xf numFmtId="167" fontId="25" fillId="0" borderId="49" xfId="0" applyNumberFormat="1" applyFont="1" applyBorder="1" applyAlignment="1">
      <alignment horizontal="center"/>
    </xf>
    <xf numFmtId="167" fontId="25" fillId="0" borderId="54" xfId="0" applyNumberFormat="1" applyFont="1" applyBorder="1" applyAlignment="1">
      <alignment horizontal="center"/>
    </xf>
    <xf numFmtId="167" fontId="25" fillId="0" borderId="52" xfId="0" applyNumberFormat="1" applyFont="1" applyBorder="1" applyAlignment="1">
      <alignment horizontal="center"/>
    </xf>
    <xf numFmtId="0" fontId="0" fillId="0" borderId="167" xfId="0" applyBorder="1" applyAlignment="1">
      <alignment horizontal="center" vertical="center"/>
    </xf>
    <xf numFmtId="0" fontId="0" fillId="0" borderId="54" xfId="0" applyBorder="1" applyAlignment="1">
      <alignment horizontal="center" vertical="center"/>
    </xf>
    <xf numFmtId="0" fontId="0" fillId="0" borderId="52" xfId="0" applyBorder="1" applyAlignment="1">
      <alignment horizontal="center" vertical="center"/>
    </xf>
    <xf numFmtId="0" fontId="5" fillId="0" borderId="78" xfId="0" applyFont="1" applyBorder="1"/>
    <xf numFmtId="0" fontId="28" fillId="0" borderId="15" xfId="0" applyFont="1" applyBorder="1"/>
    <xf numFmtId="0" fontId="28" fillId="0" borderId="16" xfId="0" applyFont="1" applyBorder="1"/>
    <xf numFmtId="0" fontId="28" fillId="0" borderId="17" xfId="0" applyFont="1" applyBorder="1"/>
    <xf numFmtId="0" fontId="0" fillId="0" borderId="20" xfId="0" applyBorder="1" applyAlignment="1">
      <alignment wrapText="1"/>
    </xf>
    <xf numFmtId="0" fontId="0" fillId="0" borderId="17" xfId="0" applyBorder="1" applyAlignment="1">
      <alignment wrapText="1"/>
    </xf>
    <xf numFmtId="9" fontId="8" fillId="0" borderId="81" xfId="0" applyNumberFormat="1" applyFont="1" applyBorder="1" applyAlignment="1">
      <alignment horizontal="center" vertical="center"/>
    </xf>
    <xf numFmtId="0" fontId="6" fillId="0" borderId="20" xfId="0" applyFont="1" applyBorder="1" applyAlignment="1">
      <alignment wrapText="1"/>
    </xf>
    <xf numFmtId="0" fontId="6" fillId="0" borderId="17" xfId="0" applyFont="1" applyBorder="1" applyAlignment="1">
      <alignment wrapText="1"/>
    </xf>
    <xf numFmtId="167" fontId="6" fillId="8" borderId="81" xfId="0" applyNumberFormat="1" applyFont="1" applyFill="1" applyBorder="1" applyAlignment="1" applyProtection="1">
      <alignment horizontal="center" vertical="center"/>
      <protection locked="0"/>
    </xf>
    <xf numFmtId="167" fontId="6" fillId="0" borderId="81" xfId="0" applyNumberFormat="1" applyFont="1" applyBorder="1" applyAlignment="1">
      <alignment horizontal="center" vertical="center"/>
    </xf>
    <xf numFmtId="0" fontId="0" fillId="0" borderId="16" xfId="0" applyBorder="1" applyAlignment="1">
      <alignment horizontal="left"/>
    </xf>
    <xf numFmtId="0" fontId="0" fillId="0" borderId="131" xfId="0" applyBorder="1" applyAlignment="1">
      <alignment horizontal="left"/>
    </xf>
    <xf numFmtId="0" fontId="0" fillId="3" borderId="116" xfId="0" applyFill="1" applyBorder="1" applyAlignment="1" applyProtection="1">
      <alignment horizontal="center"/>
      <protection locked="0"/>
    </xf>
    <xf numFmtId="0" fontId="0" fillId="3" borderId="121" xfId="0" applyFill="1" applyBorder="1" applyAlignment="1" applyProtection="1">
      <alignment horizontal="center"/>
      <protection locked="0"/>
    </xf>
    <xf numFmtId="0" fontId="0" fillId="0" borderId="90" xfId="0" applyBorder="1" applyAlignment="1">
      <alignment horizontal="center"/>
    </xf>
    <xf numFmtId="0" fontId="0" fillId="0" borderId="132" xfId="0" applyBorder="1" applyAlignment="1">
      <alignment horizontal="center"/>
    </xf>
    <xf numFmtId="0" fontId="0" fillId="0" borderId="16" xfId="0" applyBorder="1" applyAlignment="1">
      <alignment horizontal="center"/>
    </xf>
    <xf numFmtId="0" fontId="0" fillId="0" borderId="131" xfId="0" applyBorder="1" applyAlignment="1">
      <alignment horizontal="center"/>
    </xf>
    <xf numFmtId="0" fontId="0" fillId="0" borderId="15" xfId="0" applyBorder="1" applyAlignment="1">
      <alignment horizontal="center"/>
    </xf>
    <xf numFmtId="0" fontId="5" fillId="0" borderId="13" xfId="0" applyFont="1" applyBorder="1"/>
    <xf numFmtId="0" fontId="5" fillId="0" borderId="10" xfId="0" applyFont="1" applyBorder="1"/>
    <xf numFmtId="0" fontId="5" fillId="0" borderId="20" xfId="0" applyFont="1" applyBorder="1"/>
    <xf numFmtId="0" fontId="5" fillId="0" borderId="17" xfId="0" applyFont="1" applyBorder="1"/>
    <xf numFmtId="0" fontId="25" fillId="0" borderId="1" xfId="0" applyFont="1" applyBorder="1"/>
    <xf numFmtId="0" fontId="25" fillId="0" borderId="78" xfId="0" applyFont="1" applyBorder="1"/>
    <xf numFmtId="0" fontId="8" fillId="0" borderId="20" xfId="0" applyFont="1" applyBorder="1" applyAlignment="1">
      <alignment horizontal="left" wrapText="1"/>
    </xf>
    <xf numFmtId="0" fontId="8" fillId="0" borderId="17" xfId="0" applyFont="1" applyBorder="1" applyAlignment="1">
      <alignment horizontal="left" wrapText="1"/>
    </xf>
    <xf numFmtId="0" fontId="25" fillId="0" borderId="1" xfId="0" applyFont="1" applyBorder="1" applyAlignment="1">
      <alignment wrapText="1"/>
    </xf>
    <xf numFmtId="0" fontId="25" fillId="0" borderId="78" xfId="0" applyFont="1" applyBorder="1" applyAlignment="1">
      <alignment wrapText="1"/>
    </xf>
    <xf numFmtId="0" fontId="8" fillId="4" borderId="189" xfId="0" applyFont="1" applyFill="1" applyBorder="1"/>
    <xf numFmtId="0" fontId="8" fillId="4" borderId="152" xfId="0" applyFont="1" applyFill="1" applyBorder="1"/>
    <xf numFmtId="0" fontId="8" fillId="4" borderId="190" xfId="0" applyFont="1" applyFill="1" applyBorder="1"/>
    <xf numFmtId="0" fontId="37" fillId="4" borderId="15" xfId="0" applyFont="1" applyFill="1" applyBorder="1" applyAlignment="1">
      <alignment horizontal="center"/>
    </xf>
    <xf numFmtId="0" fontId="37" fillId="4" borderId="16" xfId="0" applyFont="1" applyFill="1" applyBorder="1" applyAlignment="1">
      <alignment horizontal="center"/>
    </xf>
    <xf numFmtId="0" fontId="0" fillId="0" borderId="72" xfId="0" applyBorder="1" applyAlignment="1">
      <alignment horizontal="center"/>
    </xf>
    <xf numFmtId="0" fontId="0" fillId="0" borderId="129" xfId="0" applyBorder="1" applyAlignment="1">
      <alignment horizontal="center"/>
    </xf>
    <xf numFmtId="0" fontId="25" fillId="0" borderId="8" xfId="0" applyFont="1" applyBorder="1"/>
    <xf numFmtId="0" fontId="25" fillId="0" borderId="9" xfId="0" applyFont="1" applyBorder="1"/>
    <xf numFmtId="0" fontId="25" fillId="0" borderId="10" xfId="0" applyFont="1" applyBorder="1"/>
    <xf numFmtId="0" fontId="5" fillId="3" borderId="49" xfId="0" applyFont="1" applyFill="1" applyBorder="1" applyAlignment="1" applyProtection="1">
      <alignment horizontal="center"/>
      <protection locked="0"/>
    </xf>
    <xf numFmtId="0" fontId="5" fillId="3" borderId="54" xfId="0" applyFont="1" applyFill="1" applyBorder="1" applyAlignment="1" applyProtection="1">
      <alignment horizontal="center"/>
      <protection locked="0"/>
    </xf>
    <xf numFmtId="0" fontId="5" fillId="3" borderId="52" xfId="0" applyFont="1" applyFill="1" applyBorder="1" applyAlignment="1" applyProtection="1">
      <alignment horizontal="center"/>
      <protection locked="0"/>
    </xf>
    <xf numFmtId="0" fontId="2" fillId="0" borderId="0" xfId="0" applyFont="1" applyAlignment="1">
      <alignment horizontal="left" vertical="center" wrapText="1"/>
    </xf>
    <xf numFmtId="0" fontId="2" fillId="0" borderId="107" xfId="0" applyFont="1" applyBorder="1" applyAlignment="1">
      <alignment horizontal="left" vertical="center" wrapText="1"/>
    </xf>
    <xf numFmtId="0" fontId="5" fillId="0" borderId="83" xfId="0" applyFont="1" applyBorder="1" applyAlignment="1">
      <alignment horizontal="center" vertical="center" wrapText="1"/>
    </xf>
    <xf numFmtId="0" fontId="8" fillId="0" borderId="86" xfId="0" applyFont="1" applyBorder="1" applyAlignment="1">
      <alignment horizontal="center" vertical="center" wrapText="1"/>
    </xf>
    <xf numFmtId="0" fontId="8" fillId="0" borderId="29" xfId="0" applyFont="1" applyBorder="1"/>
    <xf numFmtId="0" fontId="8" fillId="0" borderId="28" xfId="0" applyFont="1" applyBorder="1"/>
    <xf numFmtId="0" fontId="8" fillId="0" borderId="20" xfId="0" applyFont="1" applyBorder="1"/>
    <xf numFmtId="0" fontId="8" fillId="0" borderId="17" xfId="0" applyFont="1" applyBorder="1"/>
    <xf numFmtId="0" fontId="8" fillId="0" borderId="20" xfId="0" applyFont="1" applyBorder="1" applyAlignment="1">
      <alignment wrapText="1"/>
    </xf>
    <xf numFmtId="0" fontId="8" fillId="0" borderId="17" xfId="0" applyFont="1" applyBorder="1" applyAlignment="1">
      <alignment wrapText="1"/>
    </xf>
    <xf numFmtId="0" fontId="6" fillId="0" borderId="84" xfId="0" applyFont="1" applyBorder="1" applyAlignment="1">
      <alignment vertical="center" shrinkToFit="1"/>
    </xf>
    <xf numFmtId="0" fontId="5" fillId="0" borderId="81" xfId="0" applyFont="1" applyBorder="1" applyAlignment="1">
      <alignment horizontal="center"/>
    </xf>
    <xf numFmtId="0" fontId="5" fillId="0" borderId="23" xfId="0" applyFont="1" applyBorder="1" applyAlignment="1">
      <alignment vertical="center" wrapText="1"/>
    </xf>
    <xf numFmtId="0" fontId="5" fillId="0" borderId="83" xfId="0" applyFont="1" applyBorder="1" applyAlignment="1">
      <alignment vertical="center" wrapText="1"/>
    </xf>
    <xf numFmtId="0" fontId="3" fillId="2" borderId="1" xfId="0" applyFont="1" applyFill="1" applyBorder="1" applyAlignment="1">
      <alignment horizontal="left"/>
    </xf>
    <xf numFmtId="0" fontId="3" fillId="2" borderId="2" xfId="0" applyFont="1" applyFill="1" applyBorder="1" applyAlignment="1">
      <alignment horizontal="left"/>
    </xf>
    <xf numFmtId="0" fontId="9" fillId="0" borderId="3" xfId="0" applyFont="1" applyBorder="1" applyAlignment="1">
      <alignment horizontal="left" vertical="top" wrapText="1"/>
    </xf>
    <xf numFmtId="0" fontId="4" fillId="0" borderId="4" xfId="0" applyFont="1" applyBorder="1" applyAlignment="1">
      <alignment horizontal="left" vertical="top" wrapText="1"/>
    </xf>
    <xf numFmtId="0" fontId="0" fillId="0" borderId="8" xfId="0" applyBorder="1" applyAlignment="1">
      <alignment horizontal="center"/>
    </xf>
    <xf numFmtId="0" fontId="0" fillId="0" borderId="9" xfId="0" applyBorder="1" applyAlignment="1">
      <alignment horizontal="center"/>
    </xf>
    <xf numFmtId="0" fontId="0" fillId="0" borderId="133" xfId="0" applyBorder="1" applyAlignment="1">
      <alignment horizontal="center"/>
    </xf>
    <xf numFmtId="0" fontId="0" fillId="5" borderId="15" xfId="0" applyFill="1" applyBorder="1" applyAlignment="1">
      <alignment horizontal="center"/>
    </xf>
    <xf numFmtId="0" fontId="0" fillId="5" borderId="16" xfId="0" applyFill="1" applyBorder="1" applyAlignment="1">
      <alignment horizontal="center"/>
    </xf>
    <xf numFmtId="0" fontId="0" fillId="5" borderId="131" xfId="0" applyFill="1" applyBorder="1" applyAlignment="1">
      <alignment horizontal="center"/>
    </xf>
    <xf numFmtId="0" fontId="0" fillId="3" borderId="52" xfId="0" applyFill="1" applyBorder="1" applyAlignment="1" applyProtection="1">
      <alignment horizontal="center"/>
      <protection locked="0"/>
    </xf>
    <xf numFmtId="0" fontId="0" fillId="3" borderId="48" xfId="0" applyFill="1" applyBorder="1" applyAlignment="1" applyProtection="1">
      <alignment horizontal="center"/>
      <protection locked="0"/>
    </xf>
    <xf numFmtId="0" fontId="0" fillId="3" borderId="51" xfId="0" applyFill="1" applyBorder="1" applyAlignment="1" applyProtection="1">
      <alignment horizontal="center"/>
      <protection locked="0"/>
    </xf>
    <xf numFmtId="0" fontId="2" fillId="4" borderId="0" xfId="0" applyFont="1" applyFill="1" applyAlignment="1">
      <alignment horizontal="left" vertical="top" wrapText="1"/>
    </xf>
    <xf numFmtId="0" fontId="2" fillId="4" borderId="107" xfId="0" applyFont="1" applyFill="1" applyBorder="1" applyAlignment="1">
      <alignment horizontal="left" vertical="top" wrapText="1"/>
    </xf>
    <xf numFmtId="0" fontId="2" fillId="0" borderId="76" xfId="0" applyFont="1" applyBorder="1" applyAlignment="1">
      <alignment horizontal="center" vertical="center" wrapText="1"/>
    </xf>
    <xf numFmtId="0" fontId="6" fillId="0" borderId="15" xfId="0" applyFont="1" applyBorder="1" applyAlignment="1">
      <alignment horizontal="center"/>
    </xf>
    <xf numFmtId="0" fontId="6" fillId="0" borderId="16" xfId="0" applyFont="1" applyBorder="1" applyAlignment="1">
      <alignment horizontal="center"/>
    </xf>
    <xf numFmtId="0" fontId="6" fillId="0" borderId="17" xfId="0" applyFont="1"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5" fillId="0" borderId="77" xfId="0" applyFont="1" applyBorder="1" applyAlignment="1">
      <alignment horizontal="right" vertical="center"/>
    </xf>
    <xf numFmtId="0" fontId="5" fillId="0" borderId="2" xfId="0" applyFont="1" applyBorder="1" applyAlignment="1">
      <alignment horizontal="right" vertical="center"/>
    </xf>
    <xf numFmtId="0" fontId="5" fillId="0" borderId="78" xfId="0" applyFont="1" applyBorder="1" applyAlignment="1">
      <alignment horizontal="right" vertical="center"/>
    </xf>
    <xf numFmtId="0" fontId="5" fillId="0" borderId="13" xfId="0" applyFont="1" applyBorder="1" applyAlignment="1">
      <alignment horizontal="left"/>
    </xf>
    <xf numFmtId="0" fontId="5" fillId="0" borderId="10" xfId="0" applyFont="1" applyBorder="1" applyAlignment="1">
      <alignment horizontal="left"/>
    </xf>
    <xf numFmtId="0" fontId="6" fillId="0" borderId="71" xfId="0" applyFont="1" applyBorder="1" applyAlignment="1">
      <alignment vertical="center" wrapText="1"/>
    </xf>
    <xf numFmtId="0" fontId="6" fillId="0" borderId="113" xfId="0" applyFont="1" applyBorder="1" applyAlignment="1">
      <alignment vertical="center" wrapText="1"/>
    </xf>
    <xf numFmtId="0" fontId="25" fillId="0" borderId="56" xfId="0" applyFont="1" applyBorder="1"/>
    <xf numFmtId="0" fontId="0" fillId="0" borderId="0" xfId="0" applyAlignment="1">
      <alignment horizontal="center"/>
    </xf>
    <xf numFmtId="0" fontId="12" fillId="0" borderId="42" xfId="3" applyFont="1" applyBorder="1" applyAlignment="1">
      <alignment horizontal="center" vertical="center" wrapText="1"/>
    </xf>
    <xf numFmtId="0" fontId="12" fillId="0" borderId="63" xfId="3" applyFont="1" applyBorder="1">
      <alignment horizontal="center" vertical="center"/>
    </xf>
    <xf numFmtId="0" fontId="16" fillId="0" borderId="63" xfId="3" applyFont="1" applyBorder="1">
      <alignment horizontal="center" vertical="center"/>
    </xf>
    <xf numFmtId="0" fontId="16" fillId="0" borderId="38" xfId="3" applyFont="1" applyBorder="1">
      <alignment horizontal="center" vertical="center"/>
    </xf>
    <xf numFmtId="0" fontId="12" fillId="0" borderId="33" xfId="3" applyFont="1" applyBorder="1" applyAlignment="1">
      <alignment horizontal="right"/>
    </xf>
    <xf numFmtId="0" fontId="34" fillId="0" borderId="34" xfId="3" applyBorder="1" applyAlignment="1">
      <alignment horizontal="right"/>
    </xf>
    <xf numFmtId="0" fontId="12" fillId="0" borderId="35" xfId="3" applyFont="1" applyBorder="1" applyAlignment="1">
      <alignment horizontal="center" vertical="center" wrapText="1"/>
    </xf>
    <xf numFmtId="0" fontId="12" fillId="0" borderId="36" xfId="3" applyFont="1" applyBorder="1" applyAlignment="1">
      <alignment horizontal="center" vertical="center" wrapText="1"/>
    </xf>
    <xf numFmtId="0" fontId="12" fillId="0" borderId="37" xfId="3" applyFont="1" applyBorder="1" applyAlignment="1">
      <alignment horizontal="center" vertical="center" wrapText="1"/>
    </xf>
    <xf numFmtId="0" fontId="12" fillId="0" borderId="33" xfId="3" applyFont="1" applyBorder="1" applyAlignment="1">
      <alignment horizontal="center" vertical="center" wrapText="1"/>
    </xf>
    <xf numFmtId="0" fontId="12" fillId="0" borderId="34" xfId="3" applyFont="1" applyBorder="1" applyAlignment="1">
      <alignment horizontal="center" vertical="center" wrapText="1"/>
    </xf>
    <xf numFmtId="0" fontId="12" fillId="0" borderId="40" xfId="3" applyFont="1" applyBorder="1" applyAlignment="1">
      <alignment horizontal="center" vertical="center" wrapText="1"/>
    </xf>
    <xf numFmtId="0" fontId="14" fillId="0" borderId="35" xfId="3" applyFont="1" applyBorder="1" applyAlignment="1">
      <alignment horizontal="center" vertical="center" wrapText="1"/>
    </xf>
    <xf numFmtId="0" fontId="14" fillId="0" borderId="36" xfId="3" applyFont="1" applyBorder="1" applyAlignment="1">
      <alignment horizontal="center" vertical="center" wrapText="1"/>
    </xf>
    <xf numFmtId="0" fontId="14" fillId="0" borderId="37" xfId="3" applyFont="1" applyBorder="1" applyAlignment="1">
      <alignment horizontal="center" vertical="center" wrapText="1"/>
    </xf>
    <xf numFmtId="0" fontId="12" fillId="0" borderId="101" xfId="3" applyFont="1" applyBorder="1" applyAlignment="1">
      <alignment horizontal="center" vertical="center" wrapText="1"/>
    </xf>
    <xf numFmtId="0" fontId="12" fillId="0" borderId="105" xfId="3" applyFont="1" applyBorder="1" applyAlignment="1">
      <alignment horizontal="center" vertical="center" wrapText="1"/>
    </xf>
    <xf numFmtId="0" fontId="12" fillId="0" borderId="55" xfId="3" applyFont="1" applyBorder="1" applyAlignment="1">
      <alignment horizontal="center" vertical="center" wrapText="1"/>
    </xf>
    <xf numFmtId="0" fontId="13" fillId="0" borderId="35" xfId="3" applyFont="1" applyBorder="1" applyAlignment="1">
      <alignment horizontal="center" vertical="center" wrapText="1"/>
    </xf>
    <xf numFmtId="0" fontId="13" fillId="0" borderId="36" xfId="3" applyFont="1" applyBorder="1" applyAlignment="1">
      <alignment horizontal="center" vertical="center" wrapText="1"/>
    </xf>
    <xf numFmtId="0" fontId="13" fillId="0" borderId="38" xfId="3" applyFont="1" applyBorder="1" applyAlignment="1">
      <alignment horizontal="center" vertical="center" wrapText="1"/>
    </xf>
    <xf numFmtId="0" fontId="13" fillId="0" borderId="39" xfId="3" applyFont="1" applyBorder="1" applyAlignment="1">
      <alignment horizontal="center" vertical="center" wrapText="1"/>
    </xf>
    <xf numFmtId="0" fontId="14" fillId="0" borderId="33" xfId="3" applyFont="1" applyBorder="1" applyAlignment="1">
      <alignment horizontal="center" vertical="center" wrapText="1"/>
    </xf>
    <xf numFmtId="0" fontId="14" fillId="0" borderId="34" xfId="3" applyFont="1" applyBorder="1" applyAlignment="1">
      <alignment horizontal="center" vertical="center" wrapText="1"/>
    </xf>
    <xf numFmtId="0" fontId="14" fillId="0" borderId="40" xfId="3" applyFont="1" applyBorder="1" applyAlignment="1">
      <alignment horizontal="center" vertical="center" wrapText="1"/>
    </xf>
    <xf numFmtId="0" fontId="12" fillId="0" borderId="34" xfId="3" applyFont="1" applyBorder="1" applyAlignment="1">
      <alignment horizontal="right"/>
    </xf>
    <xf numFmtId="0" fontId="34" fillId="0" borderId="97" xfId="3" applyBorder="1" applyAlignment="1">
      <alignment horizontal="center" vertical="center" wrapText="1"/>
    </xf>
    <xf numFmtId="0" fontId="34" fillId="0" borderId="98" xfId="3" applyBorder="1" applyAlignment="1">
      <alignment horizontal="center" vertical="center" wrapText="1"/>
    </xf>
    <xf numFmtId="0" fontId="34" fillId="0" borderId="99" xfId="3" applyBorder="1" applyAlignment="1">
      <alignment horizontal="center" vertical="center" wrapText="1"/>
    </xf>
  </cellXfs>
  <cellStyles count="6">
    <cellStyle name="Excel Built-in Percent" xfId="2" xr:uid="{00000000-0005-0000-0000-000000000000}"/>
    <cellStyle name="Milliers" xfId="5" builtinId="3"/>
    <cellStyle name="Milliers 2" xfId="4" xr:uid="{00000000-0005-0000-0000-000002000000}"/>
    <cellStyle name="Normal" xfId="0" builtinId="0"/>
    <cellStyle name="Normal 2" xfId="3" xr:uid="{00000000-0005-0000-0000-000004000000}"/>
    <cellStyle name="Pourcentage" xfId="1" builtinId="5"/>
  </cellStyles>
  <dxfs count="1">
    <dxf>
      <fill>
        <patternFill>
          <bgColor rgb="FFFF0000"/>
        </patternFill>
      </fill>
    </dxf>
  </dxfs>
  <tableStyles count="0" defaultTableStyle="TableStyleMedium2" defaultPivotStyle="PivotStyleLight16"/>
  <colors>
    <mruColors>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7"/>
  <sheetViews>
    <sheetView topLeftCell="A2" zoomScale="90" zoomScaleNormal="90" workbookViewId="0">
      <selection activeCell="A20" sqref="A20"/>
    </sheetView>
  </sheetViews>
  <sheetFormatPr baseColWidth="10" defaultRowHeight="14.5"/>
  <cols>
    <col min="1" max="1" width="85.81640625" customWidth="1"/>
  </cols>
  <sheetData>
    <row r="1" spans="1:1" ht="18.5">
      <c r="A1" s="295" t="s">
        <v>442</v>
      </c>
    </row>
    <row r="2" spans="1:1" ht="61.5" customHeight="1">
      <c r="A2" s="294" t="s">
        <v>454</v>
      </c>
    </row>
    <row r="3" spans="1:1" ht="29">
      <c r="A3" s="294" t="s">
        <v>501</v>
      </c>
    </row>
    <row r="4" spans="1:1" ht="29">
      <c r="A4" s="294" t="s">
        <v>443</v>
      </c>
    </row>
    <row r="5" spans="1:1">
      <c r="A5" s="294"/>
    </row>
    <row r="6" spans="1:1">
      <c r="A6" s="294" t="s">
        <v>502</v>
      </c>
    </row>
    <row r="7" spans="1:1">
      <c r="A7" s="294" t="s">
        <v>503</v>
      </c>
    </row>
    <row r="8" spans="1:1" ht="29">
      <c r="A8" s="294" t="s">
        <v>504</v>
      </c>
    </row>
    <row r="9" spans="1:1" ht="72.5">
      <c r="A9" s="294" t="s">
        <v>505</v>
      </c>
    </row>
    <row r="10" spans="1:1" ht="58">
      <c r="A10" s="294" t="s">
        <v>506</v>
      </c>
    </row>
    <row r="11" spans="1:1" ht="72.5">
      <c r="A11" s="294" t="s">
        <v>507</v>
      </c>
    </row>
    <row r="12" spans="1:1">
      <c r="A12" s="294"/>
    </row>
    <row r="14" spans="1:1" ht="58">
      <c r="A14" s="294" t="s">
        <v>508</v>
      </c>
    </row>
    <row r="15" spans="1:1" ht="43.5">
      <c r="A15" s="294" t="s">
        <v>509</v>
      </c>
    </row>
    <row r="17" spans="1:1" ht="43.5">
      <c r="A17" s="294" t="s">
        <v>516</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P169"/>
  <sheetViews>
    <sheetView tabSelected="1" zoomScale="49" zoomScaleNormal="53" workbookViewId="0">
      <selection activeCell="D6" sqref="D6"/>
    </sheetView>
  </sheetViews>
  <sheetFormatPr baseColWidth="10" defaultRowHeight="14.5"/>
  <cols>
    <col min="1" max="1" width="44.1796875" customWidth="1"/>
    <col min="2" max="2" width="48.54296875" customWidth="1"/>
    <col min="3" max="3" width="9.81640625" bestFit="1" customWidth="1"/>
    <col min="4" max="5" width="15.453125" bestFit="1" customWidth="1"/>
    <col min="6" max="6" width="13.453125" bestFit="1" customWidth="1"/>
    <col min="7" max="7" width="14.453125" customWidth="1"/>
    <col min="8" max="8" width="16.453125" customWidth="1"/>
    <col min="9" max="9" width="11.81640625" customWidth="1"/>
    <col min="10" max="10" width="14.1796875" customWidth="1"/>
    <col min="11" max="11" width="14.54296875" bestFit="1" customWidth="1"/>
    <col min="12" max="12" width="14.453125" customWidth="1"/>
    <col min="13" max="13" width="12" customWidth="1"/>
    <col min="27" max="27" width="14.81640625" customWidth="1"/>
    <col min="29" max="29" width="15.453125" bestFit="1" customWidth="1"/>
    <col min="31" max="31" width="66.81640625" bestFit="1" customWidth="1"/>
  </cols>
  <sheetData>
    <row r="1" spans="1:42">
      <c r="A1" t="s">
        <v>0</v>
      </c>
    </row>
    <row r="3" spans="1:42" ht="15" thickBot="1">
      <c r="A3" s="607"/>
      <c r="B3" s="608"/>
      <c r="C3" s="608"/>
      <c r="D3" s="608"/>
      <c r="E3" s="608"/>
      <c r="F3" s="608"/>
      <c r="G3" s="608"/>
      <c r="H3" s="608"/>
      <c r="I3" s="608"/>
      <c r="J3" s="608"/>
      <c r="K3" s="608"/>
      <c r="L3" s="608"/>
      <c r="M3" s="608"/>
      <c r="N3" s="608"/>
      <c r="O3" s="608"/>
      <c r="P3" s="608"/>
      <c r="Q3" s="608"/>
      <c r="R3" s="608"/>
      <c r="S3" s="608"/>
      <c r="T3" s="608"/>
      <c r="U3" s="608"/>
      <c r="V3" s="608"/>
      <c r="W3" s="608"/>
      <c r="X3" s="608"/>
      <c r="Y3" s="608"/>
      <c r="Z3" s="608"/>
    </row>
    <row r="4" spans="1:42" ht="52" customHeight="1" thickBot="1">
      <c r="A4" s="609" t="s">
        <v>11</v>
      </c>
      <c r="B4" s="610"/>
      <c r="C4" s="1" t="s">
        <v>12</v>
      </c>
      <c r="D4" s="2">
        <v>1</v>
      </c>
      <c r="E4" s="3">
        <v>2</v>
      </c>
      <c r="F4" s="3">
        <v>3</v>
      </c>
      <c r="G4" s="3">
        <v>4</v>
      </c>
      <c r="H4" s="2">
        <v>5</v>
      </c>
      <c r="I4" s="3">
        <v>6</v>
      </c>
      <c r="J4" s="3">
        <v>7</v>
      </c>
      <c r="K4" s="3">
        <v>8</v>
      </c>
      <c r="L4" s="2">
        <v>9</v>
      </c>
      <c r="M4" s="3">
        <v>10</v>
      </c>
      <c r="N4" s="3">
        <v>11</v>
      </c>
      <c r="O4" s="3">
        <v>12</v>
      </c>
      <c r="P4" s="2">
        <v>13</v>
      </c>
      <c r="Q4" s="3">
        <v>14</v>
      </c>
      <c r="R4" s="3">
        <v>15</v>
      </c>
      <c r="S4" s="3">
        <v>16</v>
      </c>
      <c r="T4" s="2">
        <v>17</v>
      </c>
      <c r="U4" s="3">
        <v>18</v>
      </c>
      <c r="V4" s="3">
        <v>19</v>
      </c>
      <c r="W4" s="3">
        <v>20</v>
      </c>
      <c r="X4" s="2">
        <v>21</v>
      </c>
      <c r="Y4" s="3">
        <v>22</v>
      </c>
      <c r="Z4" s="276">
        <v>23</v>
      </c>
      <c r="AA4" s="284" t="s">
        <v>128</v>
      </c>
      <c r="AB4" s="279" t="s">
        <v>129</v>
      </c>
      <c r="AC4" s="313" t="s">
        <v>461</v>
      </c>
      <c r="AD4" s="24" t="s">
        <v>130</v>
      </c>
      <c r="AE4" s="392" t="s">
        <v>441</v>
      </c>
      <c r="AF4" s="412"/>
      <c r="AG4" s="413"/>
      <c r="AH4" s="414"/>
      <c r="AI4" s="415"/>
      <c r="AJ4" s="54"/>
      <c r="AK4" s="52"/>
      <c r="AL4" s="53"/>
      <c r="AM4" s="54"/>
      <c r="AN4" s="52"/>
      <c r="AP4" s="55"/>
    </row>
    <row r="5" spans="1:42">
      <c r="A5" s="611" t="s">
        <v>435</v>
      </c>
      <c r="B5" s="612"/>
      <c r="C5" s="613"/>
      <c r="D5" s="5"/>
      <c r="E5" s="6"/>
      <c r="F5" s="6"/>
      <c r="G5" s="6"/>
      <c r="H5" s="6"/>
      <c r="I5" s="7"/>
      <c r="J5" s="7"/>
      <c r="K5" s="7"/>
      <c r="L5" s="7"/>
      <c r="M5" s="7"/>
      <c r="N5" s="7"/>
      <c r="O5" s="7"/>
      <c r="P5" s="7"/>
      <c r="Q5" s="7"/>
      <c r="R5" s="7"/>
      <c r="S5" s="7"/>
      <c r="T5" s="7"/>
      <c r="U5" s="7"/>
      <c r="V5" s="7"/>
      <c r="W5" s="7"/>
      <c r="X5" s="7"/>
      <c r="Y5" s="7"/>
      <c r="Z5" s="277"/>
      <c r="AA5" s="285"/>
      <c r="AB5" s="280"/>
      <c r="AC5" s="4"/>
      <c r="AD5" s="388"/>
      <c r="AE5" s="417" t="s">
        <v>467</v>
      </c>
      <c r="AF5" s="416">
        <f>SUM(AF8:AF23)+AF6</f>
        <v>0</v>
      </c>
      <c r="AG5" s="416">
        <f t="shared" ref="AG5:AP5" si="0">SUM(AG8:AG23)+AG6</f>
        <v>0</v>
      </c>
      <c r="AH5" s="416">
        <f t="shared" si="0"/>
        <v>0</v>
      </c>
      <c r="AI5" s="416">
        <f t="shared" si="0"/>
        <v>0</v>
      </c>
      <c r="AJ5" s="416">
        <f t="shared" si="0"/>
        <v>0</v>
      </c>
      <c r="AK5" s="416">
        <f t="shared" si="0"/>
        <v>0</v>
      </c>
      <c r="AL5" s="416">
        <f t="shared" si="0"/>
        <v>0</v>
      </c>
      <c r="AM5" s="416">
        <f t="shared" si="0"/>
        <v>0</v>
      </c>
      <c r="AN5" s="416">
        <f t="shared" si="0"/>
        <v>0</v>
      </c>
      <c r="AO5" s="416">
        <f t="shared" si="0"/>
        <v>0</v>
      </c>
      <c r="AP5" s="416">
        <f t="shared" si="0"/>
        <v>0</v>
      </c>
    </row>
    <row r="6" spans="1:42">
      <c r="A6" s="569" t="s">
        <v>13</v>
      </c>
      <c r="B6" s="567"/>
      <c r="C6" s="568"/>
      <c r="D6" s="225"/>
      <c r="E6" s="261"/>
      <c r="F6" s="261"/>
      <c r="G6" s="261"/>
      <c r="H6" s="261"/>
      <c r="I6" s="258"/>
      <c r="J6" s="258"/>
      <c r="K6" s="258"/>
      <c r="L6" s="258"/>
      <c r="M6" s="258"/>
      <c r="N6" s="258"/>
      <c r="O6" s="258"/>
      <c r="P6" s="258"/>
      <c r="Q6" s="258"/>
      <c r="R6" s="258"/>
      <c r="S6" s="258"/>
      <c r="T6" s="258"/>
      <c r="U6" s="258"/>
      <c r="V6" s="258"/>
      <c r="W6" s="258"/>
      <c r="X6" s="258"/>
      <c r="Y6" s="258"/>
      <c r="Z6" s="278"/>
      <c r="AA6" s="286"/>
      <c r="AB6" s="281"/>
      <c r="AC6" s="307"/>
      <c r="AD6" s="222"/>
      <c r="AE6" s="416" t="s">
        <v>465</v>
      </c>
      <c r="AF6" s="416">
        <f t="shared" ref="AF6:AP6" si="1">SUMIF($D$7:$Z$7,AF$7,$D12:$Z12)</f>
        <v>0</v>
      </c>
      <c r="AG6" s="416">
        <f t="shared" si="1"/>
        <v>0</v>
      </c>
      <c r="AH6" s="416">
        <f t="shared" si="1"/>
        <v>0</v>
      </c>
      <c r="AI6" s="416">
        <f t="shared" si="1"/>
        <v>0</v>
      </c>
      <c r="AJ6" s="416">
        <f t="shared" si="1"/>
        <v>0</v>
      </c>
      <c r="AK6" s="416">
        <f t="shared" si="1"/>
        <v>0</v>
      </c>
      <c r="AL6" s="416">
        <f t="shared" si="1"/>
        <v>0</v>
      </c>
      <c r="AM6" s="416">
        <f t="shared" si="1"/>
        <v>0</v>
      </c>
      <c r="AN6" s="416">
        <f t="shared" si="1"/>
        <v>0</v>
      </c>
      <c r="AO6" s="416">
        <f t="shared" si="1"/>
        <v>0</v>
      </c>
      <c r="AP6" s="416">
        <f t="shared" si="1"/>
        <v>0</v>
      </c>
    </row>
    <row r="7" spans="1:42">
      <c r="A7" s="614" t="s">
        <v>436</v>
      </c>
      <c r="B7" s="615"/>
      <c r="C7" s="616"/>
      <c r="D7" s="291"/>
      <c r="E7" s="260"/>
      <c r="F7" s="260"/>
      <c r="G7" s="260"/>
      <c r="H7" s="260"/>
      <c r="I7" s="260"/>
      <c r="J7" s="260"/>
      <c r="K7" s="260"/>
      <c r="L7" s="260"/>
      <c r="M7" s="260"/>
      <c r="N7" s="260"/>
      <c r="O7" s="260"/>
      <c r="P7" s="260"/>
      <c r="Q7" s="260"/>
      <c r="R7" s="260"/>
      <c r="S7" s="260"/>
      <c r="T7" s="260"/>
      <c r="U7" s="260"/>
      <c r="V7" s="260"/>
      <c r="W7" s="260"/>
      <c r="X7" s="260"/>
      <c r="Y7" s="260"/>
      <c r="Z7" s="272"/>
      <c r="AA7" s="287"/>
      <c r="AB7" s="282"/>
      <c r="AC7" s="306"/>
      <c r="AD7" s="389"/>
      <c r="AE7" s="393" t="s">
        <v>422</v>
      </c>
      <c r="AF7" s="337" t="s">
        <v>423</v>
      </c>
      <c r="AG7" s="337" t="s">
        <v>425</v>
      </c>
      <c r="AH7" s="337" t="s">
        <v>426</v>
      </c>
      <c r="AI7" s="394" t="s">
        <v>427</v>
      </c>
      <c r="AJ7" s="394" t="s">
        <v>428</v>
      </c>
      <c r="AK7" s="337" t="s">
        <v>429</v>
      </c>
      <c r="AL7" s="337" t="s">
        <v>430</v>
      </c>
      <c r="AM7" s="337" t="s">
        <v>431</v>
      </c>
      <c r="AN7" s="394" t="s">
        <v>432</v>
      </c>
      <c r="AO7" s="394" t="s">
        <v>433</v>
      </c>
      <c r="AP7" s="337" t="s">
        <v>434</v>
      </c>
    </row>
    <row r="8" spans="1:42">
      <c r="A8" s="569" t="s">
        <v>298</v>
      </c>
      <c r="B8" s="567"/>
      <c r="C8" s="568"/>
      <c r="D8" s="617"/>
      <c r="E8" s="618"/>
      <c r="F8" s="618"/>
      <c r="G8" s="618"/>
      <c r="H8" s="618"/>
      <c r="I8" s="618"/>
      <c r="J8" s="618"/>
      <c r="K8" s="618"/>
      <c r="L8" s="618"/>
      <c r="M8" s="618"/>
      <c r="N8" s="618"/>
      <c r="O8" s="618"/>
      <c r="P8" s="618"/>
      <c r="Q8" s="618"/>
      <c r="R8" s="618"/>
      <c r="S8" s="618"/>
      <c r="T8" s="618"/>
      <c r="U8" s="618"/>
      <c r="V8" s="618"/>
      <c r="W8" s="618"/>
      <c r="X8" s="618"/>
      <c r="Y8" s="618"/>
      <c r="Z8" s="619"/>
      <c r="AA8" s="287"/>
      <c r="AB8" s="282"/>
      <c r="AC8" s="306"/>
      <c r="AD8" s="389"/>
      <c r="AE8" s="395">
        <f t="shared" ref="AE8:AE23" si="2">B15</f>
        <v>0</v>
      </c>
      <c r="AF8" s="337">
        <f t="shared" ref="AF8:AP8" si="3">SUMIF($D$7:$Z$7,AF$7,$D15:$Z15)</f>
        <v>0</v>
      </c>
      <c r="AG8" s="337">
        <f t="shared" si="3"/>
        <v>0</v>
      </c>
      <c r="AH8" s="337">
        <f t="shared" si="3"/>
        <v>0</v>
      </c>
      <c r="AI8" s="337">
        <f t="shared" si="3"/>
        <v>0</v>
      </c>
      <c r="AJ8" s="337">
        <f t="shared" si="3"/>
        <v>0</v>
      </c>
      <c r="AK8" s="337">
        <f t="shared" si="3"/>
        <v>0</v>
      </c>
      <c r="AL8" s="337">
        <f t="shared" si="3"/>
        <v>0</v>
      </c>
      <c r="AM8" s="337">
        <f t="shared" si="3"/>
        <v>0</v>
      </c>
      <c r="AN8" s="337">
        <f t="shared" si="3"/>
        <v>0</v>
      </c>
      <c r="AO8" s="337">
        <f t="shared" si="3"/>
        <v>0</v>
      </c>
      <c r="AP8" s="337">
        <f t="shared" si="3"/>
        <v>0</v>
      </c>
    </row>
    <row r="9" spans="1:42">
      <c r="A9" s="569" t="s">
        <v>288</v>
      </c>
      <c r="B9" s="567"/>
      <c r="C9" s="568"/>
      <c r="D9" s="563"/>
      <c r="E9" s="563"/>
      <c r="F9" s="563"/>
      <c r="G9" s="563"/>
      <c r="H9" s="563"/>
      <c r="I9" s="563"/>
      <c r="J9" s="563"/>
      <c r="K9" s="563"/>
      <c r="L9" s="563"/>
      <c r="M9" s="563"/>
      <c r="N9" s="563"/>
      <c r="O9" s="563"/>
      <c r="P9" s="563"/>
      <c r="Q9" s="563"/>
      <c r="R9" s="563"/>
      <c r="S9" s="563"/>
      <c r="T9" s="563"/>
      <c r="U9" s="563"/>
      <c r="V9" s="563"/>
      <c r="W9" s="563"/>
      <c r="X9" s="563"/>
      <c r="Y9" s="563"/>
      <c r="Z9" s="564"/>
      <c r="AA9" s="287"/>
      <c r="AB9" s="282"/>
      <c r="AC9" s="306"/>
      <c r="AD9" s="389"/>
      <c r="AE9" s="395">
        <f t="shared" si="2"/>
        <v>0</v>
      </c>
      <c r="AF9" s="337">
        <f t="shared" ref="AF9:AP9" si="4">SUMIF($D$7:$Z$7,AF$7,$D16:$Z16)</f>
        <v>0</v>
      </c>
      <c r="AG9" s="337">
        <f t="shared" si="4"/>
        <v>0</v>
      </c>
      <c r="AH9" s="337">
        <f t="shared" si="4"/>
        <v>0</v>
      </c>
      <c r="AI9" s="337">
        <f t="shared" si="4"/>
        <v>0</v>
      </c>
      <c r="AJ9" s="337">
        <f t="shared" si="4"/>
        <v>0</v>
      </c>
      <c r="AK9" s="337">
        <f t="shared" si="4"/>
        <v>0</v>
      </c>
      <c r="AL9" s="337">
        <f t="shared" si="4"/>
        <v>0</v>
      </c>
      <c r="AM9" s="337">
        <f t="shared" si="4"/>
        <v>0</v>
      </c>
      <c r="AN9" s="337">
        <f t="shared" si="4"/>
        <v>0</v>
      </c>
      <c r="AO9" s="337">
        <f t="shared" si="4"/>
        <v>0</v>
      </c>
      <c r="AP9" s="337">
        <f t="shared" si="4"/>
        <v>0</v>
      </c>
    </row>
    <row r="10" spans="1:42">
      <c r="A10" s="565" t="s">
        <v>437</v>
      </c>
      <c r="B10" s="565"/>
      <c r="C10" s="566"/>
      <c r="D10" s="291"/>
      <c r="E10" s="260"/>
      <c r="F10" s="260"/>
      <c r="G10" s="260"/>
      <c r="H10" s="260"/>
      <c r="I10" s="260"/>
      <c r="J10" s="260"/>
      <c r="K10" s="260"/>
      <c r="L10" s="260"/>
      <c r="M10" s="260"/>
      <c r="N10" s="260"/>
      <c r="O10" s="260"/>
      <c r="P10" s="260"/>
      <c r="Q10" s="260"/>
      <c r="R10" s="260"/>
      <c r="S10" s="260"/>
      <c r="T10" s="260"/>
      <c r="U10" s="260"/>
      <c r="V10" s="260"/>
      <c r="W10" s="260"/>
      <c r="X10" s="260"/>
      <c r="Y10" s="260"/>
      <c r="Z10" s="272"/>
      <c r="AA10" s="287"/>
      <c r="AB10" s="282"/>
      <c r="AC10" s="306"/>
      <c r="AD10" s="389"/>
      <c r="AE10" s="395">
        <f t="shared" si="2"/>
        <v>0</v>
      </c>
      <c r="AF10" s="337">
        <f t="shared" ref="AF10:AP10" si="5">SUMIF($D$7:$Z$7,AF$7,$D17:$Z17)</f>
        <v>0</v>
      </c>
      <c r="AG10" s="337">
        <f t="shared" si="5"/>
        <v>0</v>
      </c>
      <c r="AH10" s="337">
        <f t="shared" si="5"/>
        <v>0</v>
      </c>
      <c r="AI10" s="337">
        <f t="shared" si="5"/>
        <v>0</v>
      </c>
      <c r="AJ10" s="337">
        <f t="shared" si="5"/>
        <v>0</v>
      </c>
      <c r="AK10" s="337">
        <f t="shared" si="5"/>
        <v>0</v>
      </c>
      <c r="AL10" s="337">
        <f t="shared" si="5"/>
        <v>0</v>
      </c>
      <c r="AM10" s="337">
        <f t="shared" si="5"/>
        <v>0</v>
      </c>
      <c r="AN10" s="337">
        <f t="shared" si="5"/>
        <v>0</v>
      </c>
      <c r="AO10" s="337">
        <f t="shared" si="5"/>
        <v>0</v>
      </c>
      <c r="AP10" s="337">
        <f t="shared" si="5"/>
        <v>0</v>
      </c>
    </row>
    <row r="11" spans="1:42">
      <c r="A11" s="585" t="s">
        <v>510</v>
      </c>
      <c r="B11" s="585"/>
      <c r="C11" s="586"/>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87"/>
      <c r="AB11" s="282"/>
      <c r="AC11" s="306"/>
      <c r="AD11" s="389"/>
      <c r="AE11" s="395">
        <f t="shared" si="2"/>
        <v>0</v>
      </c>
      <c r="AF11" s="337">
        <f t="shared" ref="AF11:AP11" si="6">SUMIF($D$7:$Z$7,AF$7,$D18:$Z18)</f>
        <v>0</v>
      </c>
      <c r="AG11" s="337">
        <f t="shared" si="6"/>
        <v>0</v>
      </c>
      <c r="AH11" s="337">
        <f t="shared" si="6"/>
        <v>0</v>
      </c>
      <c r="AI11" s="337">
        <f t="shared" si="6"/>
        <v>0</v>
      </c>
      <c r="AJ11" s="337">
        <f t="shared" si="6"/>
        <v>0</v>
      </c>
      <c r="AK11" s="337">
        <f t="shared" si="6"/>
        <v>0</v>
      </c>
      <c r="AL11" s="337">
        <f t="shared" si="6"/>
        <v>0</v>
      </c>
      <c r="AM11" s="337">
        <f t="shared" si="6"/>
        <v>0</v>
      </c>
      <c r="AN11" s="337">
        <f t="shared" si="6"/>
        <v>0</v>
      </c>
      <c r="AO11" s="337">
        <f t="shared" si="6"/>
        <v>0</v>
      </c>
      <c r="AP11" s="337">
        <f t="shared" si="6"/>
        <v>0</v>
      </c>
    </row>
    <row r="12" spans="1:42">
      <c r="A12" s="567" t="s">
        <v>511</v>
      </c>
      <c r="B12" s="567"/>
      <c r="C12" s="568"/>
      <c r="D12" s="225"/>
      <c r="E12" s="225"/>
      <c r="F12" s="225"/>
      <c r="G12" s="225"/>
      <c r="H12" s="225"/>
      <c r="I12" s="225"/>
      <c r="J12" s="225"/>
      <c r="K12" s="225"/>
      <c r="L12" s="225"/>
      <c r="M12" s="225"/>
      <c r="N12" s="225"/>
      <c r="O12" s="225"/>
      <c r="P12" s="225"/>
      <c r="Q12" s="225"/>
      <c r="R12" s="225"/>
      <c r="S12" s="225"/>
      <c r="T12" s="225"/>
      <c r="U12" s="225"/>
      <c r="V12" s="225"/>
      <c r="W12" s="225"/>
      <c r="X12" s="225"/>
      <c r="Y12" s="225"/>
      <c r="Z12" s="273"/>
      <c r="AA12" s="336">
        <f>SUM(D12:Z12)</f>
        <v>0</v>
      </c>
      <c r="AB12" s="282"/>
      <c r="AC12" s="306"/>
      <c r="AD12" s="389"/>
      <c r="AE12" s="395">
        <f t="shared" si="2"/>
        <v>0</v>
      </c>
      <c r="AF12" s="337">
        <f t="shared" ref="AF12:AP12" si="7">SUMIF($D$7:$Z$7,AF$7,$D19:$Z19)</f>
        <v>0</v>
      </c>
      <c r="AG12" s="337">
        <f t="shared" si="7"/>
        <v>0</v>
      </c>
      <c r="AH12" s="337">
        <f t="shared" si="7"/>
        <v>0</v>
      </c>
      <c r="AI12" s="337">
        <f t="shared" si="7"/>
        <v>0</v>
      </c>
      <c r="AJ12" s="337">
        <f t="shared" si="7"/>
        <v>0</v>
      </c>
      <c r="AK12" s="337">
        <f t="shared" si="7"/>
        <v>0</v>
      </c>
      <c r="AL12" s="337">
        <f t="shared" si="7"/>
        <v>0</v>
      </c>
      <c r="AM12" s="337">
        <f t="shared" si="7"/>
        <v>0</v>
      </c>
      <c r="AN12" s="337">
        <f t="shared" si="7"/>
        <v>0</v>
      </c>
      <c r="AO12" s="337">
        <f t="shared" si="7"/>
        <v>0</v>
      </c>
      <c r="AP12" s="337">
        <f t="shared" si="7"/>
        <v>0</v>
      </c>
    </row>
    <row r="13" spans="1:42">
      <c r="A13" s="623" t="s">
        <v>468</v>
      </c>
      <c r="B13" s="624"/>
      <c r="C13" s="625"/>
      <c r="D13" s="12"/>
      <c r="E13" s="12"/>
      <c r="F13" s="13"/>
      <c r="G13" s="13"/>
      <c r="H13" s="13"/>
      <c r="I13" s="13"/>
      <c r="J13" s="13"/>
      <c r="K13" s="13"/>
      <c r="L13" s="13"/>
      <c r="M13" s="13"/>
      <c r="N13" s="13"/>
      <c r="O13" s="13"/>
      <c r="P13" s="13"/>
      <c r="Q13" s="13"/>
      <c r="R13" s="13"/>
      <c r="S13" s="13"/>
      <c r="T13" s="13"/>
      <c r="U13" s="13"/>
      <c r="V13" s="13"/>
      <c r="W13" s="13"/>
      <c r="X13" s="13"/>
      <c r="Y13" s="13"/>
      <c r="Z13" s="274"/>
      <c r="AA13" s="288">
        <f>SUM(D13:Z13)</f>
        <v>0</v>
      </c>
      <c r="AB13" s="283"/>
      <c r="AC13" s="314"/>
      <c r="AD13" s="390"/>
      <c r="AE13" s="395">
        <f t="shared" si="2"/>
        <v>0</v>
      </c>
      <c r="AF13" s="337">
        <f t="shared" ref="AF13:AP13" si="8">SUMIF($D$7:$Z$7,AF$7,$D20:$Z20)</f>
        <v>0</v>
      </c>
      <c r="AG13" s="337">
        <f t="shared" si="8"/>
        <v>0</v>
      </c>
      <c r="AH13" s="337">
        <f t="shared" si="8"/>
        <v>0</v>
      </c>
      <c r="AI13" s="337">
        <f t="shared" si="8"/>
        <v>0</v>
      </c>
      <c r="AJ13" s="337">
        <f t="shared" si="8"/>
        <v>0</v>
      </c>
      <c r="AK13" s="337">
        <f t="shared" si="8"/>
        <v>0</v>
      </c>
      <c r="AL13" s="337">
        <f t="shared" si="8"/>
        <v>0</v>
      </c>
      <c r="AM13" s="337">
        <f t="shared" si="8"/>
        <v>0</v>
      </c>
      <c r="AN13" s="337">
        <f t="shared" si="8"/>
        <v>0</v>
      </c>
      <c r="AO13" s="337">
        <f t="shared" si="8"/>
        <v>0</v>
      </c>
      <c r="AP13" s="337">
        <f t="shared" si="8"/>
        <v>0</v>
      </c>
    </row>
    <row r="14" spans="1:42" ht="15" thickBot="1">
      <c r="A14" s="626" t="s">
        <v>469</v>
      </c>
      <c r="B14" s="627"/>
      <c r="C14" s="290" t="s">
        <v>29</v>
      </c>
      <c r="D14" s="293">
        <f>IF(OR(D$10="",D$10=0),0,IF(D10="Barème",D11-D12,IF(D10="Devis",D13)))</f>
        <v>0</v>
      </c>
      <c r="E14" s="293">
        <f t="shared" ref="E14:Z14" si="9">IF(OR(E$10="",E$10=0),0,IF(E10="Barème",E11-E12,IF(E10="Devis",E13)))</f>
        <v>0</v>
      </c>
      <c r="F14" s="293">
        <f t="shared" si="9"/>
        <v>0</v>
      </c>
      <c r="G14" s="293"/>
      <c r="H14" s="293">
        <f t="shared" si="9"/>
        <v>0</v>
      </c>
      <c r="I14" s="293">
        <f t="shared" si="9"/>
        <v>0</v>
      </c>
      <c r="J14" s="293">
        <f t="shared" si="9"/>
        <v>0</v>
      </c>
      <c r="K14" s="293">
        <f t="shared" si="9"/>
        <v>0</v>
      </c>
      <c r="L14" s="293">
        <f t="shared" si="9"/>
        <v>0</v>
      </c>
      <c r="M14" s="293">
        <f t="shared" si="9"/>
        <v>0</v>
      </c>
      <c r="N14" s="293">
        <f t="shared" si="9"/>
        <v>0</v>
      </c>
      <c r="O14" s="293">
        <f t="shared" si="9"/>
        <v>0</v>
      </c>
      <c r="P14" s="293">
        <f t="shared" si="9"/>
        <v>0</v>
      </c>
      <c r="Q14" s="293">
        <f t="shared" si="9"/>
        <v>0</v>
      </c>
      <c r="R14" s="293">
        <f t="shared" si="9"/>
        <v>0</v>
      </c>
      <c r="S14" s="293">
        <f t="shared" si="9"/>
        <v>0</v>
      </c>
      <c r="T14" s="293">
        <f t="shared" si="9"/>
        <v>0</v>
      </c>
      <c r="U14" s="293">
        <f t="shared" si="9"/>
        <v>0</v>
      </c>
      <c r="V14" s="293">
        <f t="shared" si="9"/>
        <v>0</v>
      </c>
      <c r="W14" s="293">
        <f t="shared" si="9"/>
        <v>0</v>
      </c>
      <c r="X14" s="293">
        <f t="shared" si="9"/>
        <v>0</v>
      </c>
      <c r="Y14" s="293">
        <f t="shared" si="9"/>
        <v>0</v>
      </c>
      <c r="Z14" s="293">
        <f t="shared" si="9"/>
        <v>0</v>
      </c>
      <c r="AA14" s="289">
        <f>SUM(D14:Z14)</f>
        <v>0</v>
      </c>
      <c r="AB14" s="264">
        <f>AA14-AD14</f>
        <v>0</v>
      </c>
      <c r="AC14" s="315">
        <f>SUMIF(D6:Z6,1,D14:Z14)</f>
        <v>0</v>
      </c>
      <c r="AD14" s="391">
        <f>AA13</f>
        <v>0</v>
      </c>
      <c r="AE14" s="395">
        <f t="shared" si="2"/>
        <v>0</v>
      </c>
      <c r="AF14" s="337">
        <f t="shared" ref="AF14:AP14" si="10">SUMIF($D$7:$Z$7,AF$7,$D21:$Z21)</f>
        <v>0</v>
      </c>
      <c r="AG14" s="337">
        <f t="shared" si="10"/>
        <v>0</v>
      </c>
      <c r="AH14" s="337">
        <f t="shared" si="10"/>
        <v>0</v>
      </c>
      <c r="AI14" s="337">
        <f t="shared" si="10"/>
        <v>0</v>
      </c>
      <c r="AJ14" s="337">
        <f t="shared" si="10"/>
        <v>0</v>
      </c>
      <c r="AK14" s="337">
        <f t="shared" si="10"/>
        <v>0</v>
      </c>
      <c r="AL14" s="337">
        <f t="shared" si="10"/>
        <v>0</v>
      </c>
      <c r="AM14" s="337">
        <f t="shared" si="10"/>
        <v>0</v>
      </c>
      <c r="AN14" s="337">
        <f t="shared" si="10"/>
        <v>0</v>
      </c>
      <c r="AO14" s="337">
        <f t="shared" si="10"/>
        <v>0</v>
      </c>
      <c r="AP14" s="337">
        <f t="shared" si="10"/>
        <v>0</v>
      </c>
    </row>
    <row r="15" spans="1:42" ht="17" thickTop="1">
      <c r="A15" s="464"/>
      <c r="B15" s="14"/>
      <c r="C15" s="296" t="str">
        <f>IF(B15=0,"",VLOOKUP(B15,données!$D$2:$E$73,2,0))</f>
        <v/>
      </c>
      <c r="D15" s="312"/>
      <c r="E15" s="15"/>
      <c r="F15" s="16"/>
      <c r="G15" s="16"/>
      <c r="H15" s="16"/>
      <c r="I15" s="17"/>
      <c r="J15" s="17"/>
      <c r="K15" s="17"/>
      <c r="L15" s="17"/>
      <c r="M15" s="17"/>
      <c r="N15" s="17"/>
      <c r="O15" s="17"/>
      <c r="P15" s="17"/>
      <c r="Q15" s="17"/>
      <c r="R15" s="17"/>
      <c r="S15" s="17"/>
      <c r="T15" s="17"/>
      <c r="U15" s="17"/>
      <c r="V15" s="17"/>
      <c r="W15" s="17"/>
      <c r="X15" s="17"/>
      <c r="Y15" s="17"/>
      <c r="Z15" s="275"/>
      <c r="AA15" s="271">
        <f t="shared" ref="AA15:AA36" si="11">AB15+AD15</f>
        <v>0</v>
      </c>
      <c r="AB15" s="22">
        <f t="shared" ref="AB15:AB36" si="12">SUM(D15:Z15)-AD15</f>
        <v>0</v>
      </c>
      <c r="AC15" s="307"/>
      <c r="AD15" s="222">
        <f t="shared" ref="AD15:AD36" si="13">SUMIF(D$13:Z$13,"&gt;0",D15:Z15)</f>
        <v>0</v>
      </c>
      <c r="AE15" s="395">
        <f t="shared" si="2"/>
        <v>0</v>
      </c>
      <c r="AF15" s="337">
        <f t="shared" ref="AF15:AP15" si="14">SUMIF($D$7:$Z$7,AF$7,$D22:$Z22)</f>
        <v>0</v>
      </c>
      <c r="AG15" s="337">
        <f t="shared" si="14"/>
        <v>0</v>
      </c>
      <c r="AH15" s="337">
        <f t="shared" si="14"/>
        <v>0</v>
      </c>
      <c r="AI15" s="337">
        <f t="shared" si="14"/>
        <v>0</v>
      </c>
      <c r="AJ15" s="337">
        <f t="shared" si="14"/>
        <v>0</v>
      </c>
      <c r="AK15" s="337">
        <f t="shared" si="14"/>
        <v>0</v>
      </c>
      <c r="AL15" s="337">
        <f t="shared" si="14"/>
        <v>0</v>
      </c>
      <c r="AM15" s="337">
        <f t="shared" si="14"/>
        <v>0</v>
      </c>
      <c r="AN15" s="337">
        <f t="shared" si="14"/>
        <v>0</v>
      </c>
      <c r="AO15" s="337">
        <f t="shared" si="14"/>
        <v>0</v>
      </c>
      <c r="AP15" s="337">
        <f t="shared" si="14"/>
        <v>0</v>
      </c>
    </row>
    <row r="16" spans="1:42" ht="16.5">
      <c r="A16" s="464"/>
      <c r="B16" s="14"/>
      <c r="C16" s="296" t="str">
        <f>IF(B16=0,"",VLOOKUP(B16,données!$D$2:$E$73,2,0))</f>
        <v/>
      </c>
      <c r="D16" s="312"/>
      <c r="E16" s="16"/>
      <c r="F16" s="16"/>
      <c r="G16" s="16"/>
      <c r="H16" s="16"/>
      <c r="I16" s="17"/>
      <c r="J16" s="17"/>
      <c r="K16" s="17"/>
      <c r="L16" s="17"/>
      <c r="M16" s="17"/>
      <c r="N16" s="17"/>
      <c r="O16" s="17"/>
      <c r="P16" s="17"/>
      <c r="Q16" s="17"/>
      <c r="R16" s="17"/>
      <c r="S16" s="17"/>
      <c r="T16" s="17"/>
      <c r="U16" s="17"/>
      <c r="V16" s="17"/>
      <c r="W16" s="17"/>
      <c r="X16" s="17"/>
      <c r="Y16" s="17"/>
      <c r="Z16" s="18"/>
      <c r="AA16" s="20">
        <f t="shared" si="11"/>
        <v>0</v>
      </c>
      <c r="AB16" s="22">
        <f t="shared" si="12"/>
        <v>0</v>
      </c>
      <c r="AC16" s="307"/>
      <c r="AD16" s="222">
        <f t="shared" si="13"/>
        <v>0</v>
      </c>
      <c r="AE16" s="395">
        <f t="shared" si="2"/>
        <v>0</v>
      </c>
      <c r="AF16" s="337">
        <f t="shared" ref="AF16:AP16" si="15">SUMIF($D$7:$Z$7,AF$7,$D23:$Z23)</f>
        <v>0</v>
      </c>
      <c r="AG16" s="337">
        <f t="shared" si="15"/>
        <v>0</v>
      </c>
      <c r="AH16" s="337">
        <f t="shared" si="15"/>
        <v>0</v>
      </c>
      <c r="AI16" s="337">
        <f t="shared" si="15"/>
        <v>0</v>
      </c>
      <c r="AJ16" s="337">
        <f t="shared" si="15"/>
        <v>0</v>
      </c>
      <c r="AK16" s="337">
        <f t="shared" si="15"/>
        <v>0</v>
      </c>
      <c r="AL16" s="337">
        <f t="shared" si="15"/>
        <v>0</v>
      </c>
      <c r="AM16" s="337">
        <f t="shared" si="15"/>
        <v>0</v>
      </c>
      <c r="AN16" s="337">
        <f t="shared" si="15"/>
        <v>0</v>
      </c>
      <c r="AO16" s="337">
        <f t="shared" si="15"/>
        <v>0</v>
      </c>
      <c r="AP16" s="337">
        <f t="shared" si="15"/>
        <v>0</v>
      </c>
    </row>
    <row r="17" spans="1:42" ht="16.5">
      <c r="A17" s="464"/>
      <c r="B17" s="14"/>
      <c r="C17" s="296" t="str">
        <f>IF(B17=0,"",VLOOKUP(B17,données!$D$2:$E$73,2,0))</f>
        <v/>
      </c>
      <c r="D17" s="292"/>
      <c r="E17" s="16"/>
      <c r="F17" s="16"/>
      <c r="G17" s="16"/>
      <c r="H17" s="16"/>
      <c r="I17" s="17"/>
      <c r="J17" s="17"/>
      <c r="K17" s="17"/>
      <c r="L17" s="17"/>
      <c r="M17" s="17"/>
      <c r="N17" s="17"/>
      <c r="O17" s="17"/>
      <c r="P17" s="17"/>
      <c r="Q17" s="17"/>
      <c r="R17" s="17"/>
      <c r="S17" s="17"/>
      <c r="T17" s="17"/>
      <c r="U17" s="17"/>
      <c r="V17" s="17"/>
      <c r="W17" s="17"/>
      <c r="X17" s="17"/>
      <c r="Y17" s="17"/>
      <c r="Z17" s="18"/>
      <c r="AA17" s="20">
        <f t="shared" si="11"/>
        <v>0</v>
      </c>
      <c r="AB17" s="22">
        <f t="shared" si="12"/>
        <v>0</v>
      </c>
      <c r="AC17" s="307"/>
      <c r="AD17" s="222">
        <f t="shared" si="13"/>
        <v>0</v>
      </c>
      <c r="AE17" s="395">
        <f t="shared" si="2"/>
        <v>0</v>
      </c>
      <c r="AF17" s="337">
        <f t="shared" ref="AF17:AP17" si="16">SUMIF($D$7:$Z$7,AF$7,$D24:$Z24)</f>
        <v>0</v>
      </c>
      <c r="AG17" s="337">
        <f t="shared" si="16"/>
        <v>0</v>
      </c>
      <c r="AH17" s="337">
        <f t="shared" si="16"/>
        <v>0</v>
      </c>
      <c r="AI17" s="337">
        <f t="shared" si="16"/>
        <v>0</v>
      </c>
      <c r="AJ17" s="337">
        <f t="shared" si="16"/>
        <v>0</v>
      </c>
      <c r="AK17" s="337">
        <f t="shared" si="16"/>
        <v>0</v>
      </c>
      <c r="AL17" s="337">
        <f t="shared" si="16"/>
        <v>0</v>
      </c>
      <c r="AM17" s="337">
        <f t="shared" si="16"/>
        <v>0</v>
      </c>
      <c r="AN17" s="337">
        <f t="shared" si="16"/>
        <v>0</v>
      </c>
      <c r="AO17" s="337">
        <f t="shared" si="16"/>
        <v>0</v>
      </c>
      <c r="AP17" s="337">
        <f t="shared" si="16"/>
        <v>0</v>
      </c>
    </row>
    <row r="18" spans="1:42" ht="16.5">
      <c r="A18" s="464"/>
      <c r="B18" s="14"/>
      <c r="C18" s="296" t="str">
        <f>IF(B18=0,"",VLOOKUP(B18,données!$D$2:$E$73,2,0))</f>
        <v/>
      </c>
      <c r="D18" s="292"/>
      <c r="E18" s="16"/>
      <c r="F18" s="16"/>
      <c r="G18" s="16"/>
      <c r="H18" s="16"/>
      <c r="I18" s="17"/>
      <c r="J18" s="17"/>
      <c r="K18" s="17"/>
      <c r="L18" s="17"/>
      <c r="M18" s="17"/>
      <c r="N18" s="17"/>
      <c r="O18" s="17"/>
      <c r="P18" s="17"/>
      <c r="Q18" s="17"/>
      <c r="R18" s="17"/>
      <c r="S18" s="17"/>
      <c r="T18" s="17"/>
      <c r="U18" s="17"/>
      <c r="V18" s="17"/>
      <c r="W18" s="17"/>
      <c r="X18" s="17"/>
      <c r="Y18" s="17"/>
      <c r="Z18" s="18"/>
      <c r="AA18" s="20">
        <f t="shared" si="11"/>
        <v>0</v>
      </c>
      <c r="AB18" s="22">
        <f t="shared" si="12"/>
        <v>0</v>
      </c>
      <c r="AC18" s="307"/>
      <c r="AD18" s="222">
        <f t="shared" si="13"/>
        <v>0</v>
      </c>
      <c r="AE18" s="395">
        <f t="shared" si="2"/>
        <v>0</v>
      </c>
      <c r="AF18" s="337">
        <f t="shared" ref="AF18:AP18" si="17">SUMIF($D$7:$Z$7,AF$7,$D25:$Z25)</f>
        <v>0</v>
      </c>
      <c r="AG18" s="337">
        <f t="shared" si="17"/>
        <v>0</v>
      </c>
      <c r="AH18" s="337">
        <f t="shared" si="17"/>
        <v>0</v>
      </c>
      <c r="AI18" s="337">
        <f t="shared" si="17"/>
        <v>0</v>
      </c>
      <c r="AJ18" s="337">
        <f t="shared" si="17"/>
        <v>0</v>
      </c>
      <c r="AK18" s="337">
        <f t="shared" si="17"/>
        <v>0</v>
      </c>
      <c r="AL18" s="337">
        <f t="shared" si="17"/>
        <v>0</v>
      </c>
      <c r="AM18" s="337">
        <f t="shared" si="17"/>
        <v>0</v>
      </c>
      <c r="AN18" s="337">
        <f t="shared" si="17"/>
        <v>0</v>
      </c>
      <c r="AO18" s="337">
        <f t="shared" si="17"/>
        <v>0</v>
      </c>
      <c r="AP18" s="337">
        <f t="shared" si="17"/>
        <v>0</v>
      </c>
    </row>
    <row r="19" spans="1:42" ht="16.5">
      <c r="A19" s="464"/>
      <c r="B19" s="14"/>
      <c r="C19" s="296" t="str">
        <f>IF(B19=0,"",VLOOKUP(B19,données!$D$2:$E$73,2,0))</f>
        <v/>
      </c>
      <c r="D19" s="292"/>
      <c r="E19" s="16"/>
      <c r="F19" s="16"/>
      <c r="G19" s="16"/>
      <c r="H19" s="16"/>
      <c r="I19" s="17"/>
      <c r="J19" s="17"/>
      <c r="K19" s="17"/>
      <c r="L19" s="17"/>
      <c r="M19" s="17"/>
      <c r="N19" s="17"/>
      <c r="O19" s="17"/>
      <c r="P19" s="17"/>
      <c r="Q19" s="17"/>
      <c r="R19" s="17"/>
      <c r="S19" s="17"/>
      <c r="T19" s="17"/>
      <c r="U19" s="17"/>
      <c r="V19" s="17"/>
      <c r="W19" s="17"/>
      <c r="X19" s="17"/>
      <c r="Y19" s="17"/>
      <c r="Z19" s="18"/>
      <c r="AA19" s="20">
        <f t="shared" si="11"/>
        <v>0</v>
      </c>
      <c r="AB19" s="22">
        <f t="shared" si="12"/>
        <v>0</v>
      </c>
      <c r="AC19" s="307"/>
      <c r="AD19" s="222">
        <f t="shared" si="13"/>
        <v>0</v>
      </c>
      <c r="AE19" s="395">
        <f t="shared" si="2"/>
        <v>0</v>
      </c>
      <c r="AF19" s="337">
        <f t="shared" ref="AF19:AP19" si="18">SUMIF($D$7:$Z$7,AF$7,$D26:$Z26)</f>
        <v>0</v>
      </c>
      <c r="AG19" s="337">
        <f t="shared" si="18"/>
        <v>0</v>
      </c>
      <c r="AH19" s="337">
        <f t="shared" si="18"/>
        <v>0</v>
      </c>
      <c r="AI19" s="337">
        <f t="shared" si="18"/>
        <v>0</v>
      </c>
      <c r="AJ19" s="337">
        <f t="shared" si="18"/>
        <v>0</v>
      </c>
      <c r="AK19" s="337">
        <f t="shared" si="18"/>
        <v>0</v>
      </c>
      <c r="AL19" s="337">
        <f t="shared" si="18"/>
        <v>0</v>
      </c>
      <c r="AM19" s="337">
        <f t="shared" si="18"/>
        <v>0</v>
      </c>
      <c r="AN19" s="337">
        <f t="shared" si="18"/>
        <v>0</v>
      </c>
      <c r="AO19" s="337">
        <f t="shared" si="18"/>
        <v>0</v>
      </c>
      <c r="AP19" s="337">
        <f t="shared" si="18"/>
        <v>0</v>
      </c>
    </row>
    <row r="20" spans="1:42" ht="16.5">
      <c r="A20" s="464"/>
      <c r="B20" s="14"/>
      <c r="C20" s="296" t="str">
        <f>IF(B20=0,"",VLOOKUP(B20,données!$D$2:$E$73,2,0))</f>
        <v/>
      </c>
      <c r="D20" s="292"/>
      <c r="E20" s="16"/>
      <c r="F20" s="16"/>
      <c r="G20" s="16"/>
      <c r="H20" s="16"/>
      <c r="I20" s="17"/>
      <c r="J20" s="17"/>
      <c r="K20" s="17"/>
      <c r="L20" s="17"/>
      <c r="M20" s="17"/>
      <c r="N20" s="17"/>
      <c r="O20" s="17"/>
      <c r="P20" s="17"/>
      <c r="Q20" s="17"/>
      <c r="R20" s="17"/>
      <c r="S20" s="17"/>
      <c r="T20" s="17"/>
      <c r="U20" s="17"/>
      <c r="V20" s="17"/>
      <c r="W20" s="17"/>
      <c r="X20" s="17"/>
      <c r="Y20" s="17"/>
      <c r="Z20" s="18"/>
      <c r="AA20" s="20">
        <f t="shared" si="11"/>
        <v>0</v>
      </c>
      <c r="AB20" s="22">
        <f t="shared" si="12"/>
        <v>0</v>
      </c>
      <c r="AC20" s="307"/>
      <c r="AD20" s="222">
        <f t="shared" si="13"/>
        <v>0</v>
      </c>
      <c r="AE20" s="395">
        <f t="shared" si="2"/>
        <v>0</v>
      </c>
      <c r="AF20" s="337">
        <f t="shared" ref="AF20:AP20" si="19">SUMIF($D$7:$Z$7,AF$7,$D27:$Z27)</f>
        <v>0</v>
      </c>
      <c r="AG20" s="337">
        <f t="shared" si="19"/>
        <v>0</v>
      </c>
      <c r="AH20" s="337">
        <f t="shared" si="19"/>
        <v>0</v>
      </c>
      <c r="AI20" s="337">
        <f t="shared" si="19"/>
        <v>0</v>
      </c>
      <c r="AJ20" s="337">
        <f t="shared" si="19"/>
        <v>0</v>
      </c>
      <c r="AK20" s="337">
        <f t="shared" si="19"/>
        <v>0</v>
      </c>
      <c r="AL20" s="337">
        <f t="shared" si="19"/>
        <v>0</v>
      </c>
      <c r="AM20" s="337">
        <f t="shared" si="19"/>
        <v>0</v>
      </c>
      <c r="AN20" s="337">
        <f t="shared" si="19"/>
        <v>0</v>
      </c>
      <c r="AO20" s="337">
        <f t="shared" si="19"/>
        <v>0</v>
      </c>
      <c r="AP20" s="337">
        <f t="shared" si="19"/>
        <v>0</v>
      </c>
    </row>
    <row r="21" spans="1:42" ht="16.5">
      <c r="A21" s="464"/>
      <c r="B21" s="14"/>
      <c r="C21" s="296" t="str">
        <f>IF(B21=0,"",VLOOKUP(B21,données!$D$2:$E$73,2,0))</f>
        <v/>
      </c>
      <c r="D21" s="292"/>
      <c r="E21" s="16"/>
      <c r="F21" s="16"/>
      <c r="G21" s="16"/>
      <c r="H21" s="16"/>
      <c r="I21" s="17"/>
      <c r="J21" s="17"/>
      <c r="K21" s="17"/>
      <c r="L21" s="17"/>
      <c r="M21" s="17"/>
      <c r="N21" s="17"/>
      <c r="O21" s="17"/>
      <c r="P21" s="17"/>
      <c r="Q21" s="17"/>
      <c r="R21" s="17"/>
      <c r="S21" s="17"/>
      <c r="T21" s="17"/>
      <c r="U21" s="17"/>
      <c r="V21" s="17"/>
      <c r="W21" s="17"/>
      <c r="X21" s="17"/>
      <c r="Y21" s="17"/>
      <c r="Z21" s="18"/>
      <c r="AA21" s="20">
        <f t="shared" si="11"/>
        <v>0</v>
      </c>
      <c r="AB21" s="22">
        <f t="shared" si="12"/>
        <v>0</v>
      </c>
      <c r="AC21" s="307"/>
      <c r="AD21" s="222">
        <f t="shared" si="13"/>
        <v>0</v>
      </c>
      <c r="AE21" s="395">
        <f t="shared" si="2"/>
        <v>0</v>
      </c>
      <c r="AF21" s="337">
        <f t="shared" ref="AF21:AP21" si="20">SUMIF($D$7:$Z$7,AF$7,$D28:$Z28)</f>
        <v>0</v>
      </c>
      <c r="AG21" s="337">
        <f t="shared" si="20"/>
        <v>0</v>
      </c>
      <c r="AH21" s="337">
        <f t="shared" si="20"/>
        <v>0</v>
      </c>
      <c r="AI21" s="337">
        <f t="shared" si="20"/>
        <v>0</v>
      </c>
      <c r="AJ21" s="337">
        <f t="shared" si="20"/>
        <v>0</v>
      </c>
      <c r="AK21" s="337">
        <f t="shared" si="20"/>
        <v>0</v>
      </c>
      <c r="AL21" s="337">
        <f t="shared" si="20"/>
        <v>0</v>
      </c>
      <c r="AM21" s="337">
        <f t="shared" si="20"/>
        <v>0</v>
      </c>
      <c r="AN21" s="337">
        <f t="shared" si="20"/>
        <v>0</v>
      </c>
      <c r="AO21" s="337">
        <f t="shared" si="20"/>
        <v>0</v>
      </c>
      <c r="AP21" s="337">
        <f t="shared" si="20"/>
        <v>0</v>
      </c>
    </row>
    <row r="22" spans="1:42" ht="16.5">
      <c r="A22" s="464"/>
      <c r="B22" s="14"/>
      <c r="C22" s="296" t="str">
        <f>IF(B22=0,"",VLOOKUP(B22,données!$D$2:$E$73,2,0))</f>
        <v/>
      </c>
      <c r="D22" s="292"/>
      <c r="E22" s="16"/>
      <c r="F22" s="16"/>
      <c r="G22" s="16"/>
      <c r="H22" s="16"/>
      <c r="I22" s="17"/>
      <c r="J22" s="17"/>
      <c r="K22" s="17"/>
      <c r="L22" s="17"/>
      <c r="M22" s="17"/>
      <c r="N22" s="17"/>
      <c r="O22" s="17"/>
      <c r="P22" s="17"/>
      <c r="Q22" s="17"/>
      <c r="R22" s="17"/>
      <c r="S22" s="17"/>
      <c r="T22" s="17"/>
      <c r="U22" s="17"/>
      <c r="V22" s="17"/>
      <c r="W22" s="17"/>
      <c r="X22" s="17"/>
      <c r="Y22" s="17"/>
      <c r="Z22" s="18"/>
      <c r="AA22" s="20">
        <f t="shared" si="11"/>
        <v>0</v>
      </c>
      <c r="AB22" s="22">
        <f t="shared" si="12"/>
        <v>0</v>
      </c>
      <c r="AC22" s="307"/>
      <c r="AD22" s="222">
        <f t="shared" si="13"/>
        <v>0</v>
      </c>
      <c r="AE22" s="395">
        <f t="shared" si="2"/>
        <v>0</v>
      </c>
      <c r="AF22" s="337">
        <f t="shared" ref="AF22:AP22" si="21">SUMIF($D$7:$Z$7,AF$7,$D29:$Z29)</f>
        <v>0</v>
      </c>
      <c r="AG22" s="337">
        <f t="shared" si="21"/>
        <v>0</v>
      </c>
      <c r="AH22" s="337">
        <f t="shared" si="21"/>
        <v>0</v>
      </c>
      <c r="AI22" s="337">
        <f t="shared" si="21"/>
        <v>0</v>
      </c>
      <c r="AJ22" s="337">
        <f t="shared" si="21"/>
        <v>0</v>
      </c>
      <c r="AK22" s="337">
        <f t="shared" si="21"/>
        <v>0</v>
      </c>
      <c r="AL22" s="337">
        <f t="shared" si="21"/>
        <v>0</v>
      </c>
      <c r="AM22" s="337">
        <f t="shared" si="21"/>
        <v>0</v>
      </c>
      <c r="AN22" s="337">
        <f t="shared" si="21"/>
        <v>0</v>
      </c>
      <c r="AO22" s="337">
        <f t="shared" si="21"/>
        <v>0</v>
      </c>
      <c r="AP22" s="337">
        <f t="shared" si="21"/>
        <v>0</v>
      </c>
    </row>
    <row r="23" spans="1:42" ht="16.5">
      <c r="A23" s="464"/>
      <c r="B23" s="14"/>
      <c r="C23" s="296" t="str">
        <f>IF(B23=0,"",VLOOKUP(B23,données!$D$2:$E$73,2,0))</f>
        <v/>
      </c>
      <c r="D23" s="292"/>
      <c r="E23" s="16"/>
      <c r="F23" s="16"/>
      <c r="G23" s="16"/>
      <c r="H23" s="16"/>
      <c r="I23" s="17"/>
      <c r="J23" s="17"/>
      <c r="K23" s="17"/>
      <c r="L23" s="17"/>
      <c r="M23" s="17"/>
      <c r="N23" s="17"/>
      <c r="O23" s="17"/>
      <c r="P23" s="17"/>
      <c r="Q23" s="17"/>
      <c r="R23" s="17"/>
      <c r="S23" s="17"/>
      <c r="T23" s="17"/>
      <c r="U23" s="17"/>
      <c r="V23" s="17"/>
      <c r="W23" s="17"/>
      <c r="X23" s="17"/>
      <c r="Y23" s="17"/>
      <c r="Z23" s="18"/>
      <c r="AA23" s="20">
        <f t="shared" si="11"/>
        <v>0</v>
      </c>
      <c r="AB23" s="22">
        <f t="shared" si="12"/>
        <v>0</v>
      </c>
      <c r="AC23" s="307"/>
      <c r="AD23" s="222">
        <f t="shared" si="13"/>
        <v>0</v>
      </c>
      <c r="AE23" s="395">
        <f t="shared" si="2"/>
        <v>0</v>
      </c>
      <c r="AF23" s="337">
        <f t="shared" ref="AF23:AP23" si="22">SUMIF($D$7:$Z$7,AF$7,$D30:$Z30)</f>
        <v>0</v>
      </c>
      <c r="AG23" s="337">
        <f t="shared" si="22"/>
        <v>0</v>
      </c>
      <c r="AH23" s="337">
        <f t="shared" si="22"/>
        <v>0</v>
      </c>
      <c r="AI23" s="337">
        <f t="shared" si="22"/>
        <v>0</v>
      </c>
      <c r="AJ23" s="337">
        <f t="shared" si="22"/>
        <v>0</v>
      </c>
      <c r="AK23" s="337">
        <f t="shared" si="22"/>
        <v>0</v>
      </c>
      <c r="AL23" s="337">
        <f t="shared" si="22"/>
        <v>0</v>
      </c>
      <c r="AM23" s="337">
        <f t="shared" si="22"/>
        <v>0</v>
      </c>
      <c r="AN23" s="337">
        <f t="shared" si="22"/>
        <v>0</v>
      </c>
      <c r="AO23" s="337">
        <f t="shared" si="22"/>
        <v>0</v>
      </c>
      <c r="AP23" s="337">
        <f t="shared" si="22"/>
        <v>0</v>
      </c>
    </row>
    <row r="24" spans="1:42" ht="16.5">
      <c r="A24" s="464"/>
      <c r="B24" s="14"/>
      <c r="C24" s="296" t="str">
        <f>IF(B24=0,"",VLOOKUP(B24,données!$D$2:$E$73,2,0))</f>
        <v/>
      </c>
      <c r="D24" s="292"/>
      <c r="E24" s="16"/>
      <c r="F24" s="16"/>
      <c r="G24" s="16"/>
      <c r="H24" s="16"/>
      <c r="I24" s="17"/>
      <c r="J24" s="17"/>
      <c r="K24" s="17"/>
      <c r="L24" s="17"/>
      <c r="M24" s="17"/>
      <c r="N24" s="17"/>
      <c r="O24" s="17"/>
      <c r="P24" s="17"/>
      <c r="Q24" s="17"/>
      <c r="R24" s="17"/>
      <c r="S24" s="17"/>
      <c r="T24" s="17"/>
      <c r="U24" s="17"/>
      <c r="V24" s="17"/>
      <c r="W24" s="17"/>
      <c r="X24" s="17"/>
      <c r="Y24" s="17"/>
      <c r="Z24" s="18"/>
      <c r="AA24" s="20">
        <f t="shared" si="11"/>
        <v>0</v>
      </c>
      <c r="AB24" s="22">
        <f t="shared" si="12"/>
        <v>0</v>
      </c>
      <c r="AC24" s="307"/>
      <c r="AD24" s="222">
        <f t="shared" si="13"/>
        <v>0</v>
      </c>
      <c r="AE24" s="378" t="s">
        <v>466</v>
      </c>
      <c r="AF24" s="337">
        <f>IF(AF6&gt;AF5*0.2,AF5*0.2,IF(OR(AF6&lt;AF5*0.2,AF6=AF5*0.2),AF6,0))</f>
        <v>0</v>
      </c>
      <c r="AG24" s="337">
        <f>IF(AG6&gt;AG5*0.2,AG5*0.2,IF(OR(AG6&lt;AG5*0.2,AG6=AG5*0.2),AG6,0))</f>
        <v>0</v>
      </c>
      <c r="AH24" s="337">
        <f t="shared" ref="AH24:AP24" si="23">IF(AH6&gt;AH5*0.2,AH5*0.2,IF(OR(AH6&lt;AH5*0.2,AH6=AH5*0.2),AH6,0))</f>
        <v>0</v>
      </c>
      <c r="AI24" s="337">
        <f t="shared" si="23"/>
        <v>0</v>
      </c>
      <c r="AJ24" s="337">
        <f t="shared" si="23"/>
        <v>0</v>
      </c>
      <c r="AK24" s="337">
        <f t="shared" si="23"/>
        <v>0</v>
      </c>
      <c r="AL24" s="337">
        <f t="shared" si="23"/>
        <v>0</v>
      </c>
      <c r="AM24" s="337">
        <f t="shared" si="23"/>
        <v>0</v>
      </c>
      <c r="AN24" s="337">
        <f t="shared" si="23"/>
        <v>0</v>
      </c>
      <c r="AO24" s="337">
        <f t="shared" si="23"/>
        <v>0</v>
      </c>
      <c r="AP24" s="337">
        <f t="shared" si="23"/>
        <v>0</v>
      </c>
    </row>
    <row r="25" spans="1:42" ht="16.5">
      <c r="A25" s="464"/>
      <c r="B25" s="14"/>
      <c r="C25" s="296" t="str">
        <f>IF(B25=0,"",VLOOKUP(B25,données!$D$2:$E$73,2,0))</f>
        <v/>
      </c>
      <c r="D25" s="292"/>
      <c r="E25" s="16"/>
      <c r="F25" s="16"/>
      <c r="G25" s="16"/>
      <c r="H25" s="16"/>
      <c r="I25" s="17"/>
      <c r="J25" s="17"/>
      <c r="K25" s="17"/>
      <c r="L25" s="17"/>
      <c r="M25" s="17"/>
      <c r="N25" s="17"/>
      <c r="O25" s="17"/>
      <c r="P25" s="17"/>
      <c r="Q25" s="17"/>
      <c r="R25" s="17"/>
      <c r="S25" s="17"/>
      <c r="T25" s="17"/>
      <c r="U25" s="17"/>
      <c r="V25" s="17"/>
      <c r="W25" s="17"/>
      <c r="X25" s="17"/>
      <c r="Y25" s="17"/>
      <c r="Z25" s="18"/>
      <c r="AA25" s="20">
        <f t="shared" si="11"/>
        <v>0</v>
      </c>
      <c r="AB25" s="22">
        <f t="shared" si="12"/>
        <v>0</v>
      </c>
      <c r="AC25" s="307"/>
      <c r="AD25" s="222">
        <f t="shared" si="13"/>
        <v>0</v>
      </c>
      <c r="AE25" s="378" t="s">
        <v>512</v>
      </c>
      <c r="AF25" s="337">
        <f t="shared" ref="AF25:AP25" si="24">SUM(AF8:AF24)</f>
        <v>0</v>
      </c>
      <c r="AG25" s="337">
        <f t="shared" si="24"/>
        <v>0</v>
      </c>
      <c r="AH25" s="337">
        <f t="shared" si="24"/>
        <v>0</v>
      </c>
      <c r="AI25" s="337">
        <f t="shared" si="24"/>
        <v>0</v>
      </c>
      <c r="AJ25" s="337">
        <f t="shared" si="24"/>
        <v>0</v>
      </c>
      <c r="AK25" s="337">
        <f t="shared" si="24"/>
        <v>0</v>
      </c>
      <c r="AL25" s="337">
        <f t="shared" si="24"/>
        <v>0</v>
      </c>
      <c r="AM25" s="337">
        <f t="shared" si="24"/>
        <v>0</v>
      </c>
      <c r="AN25" s="337">
        <f t="shared" si="24"/>
        <v>0</v>
      </c>
      <c r="AO25" s="337">
        <f t="shared" si="24"/>
        <v>0</v>
      </c>
      <c r="AP25" s="337">
        <f t="shared" si="24"/>
        <v>0</v>
      </c>
    </row>
    <row r="26" spans="1:42" ht="16.5">
      <c r="A26" s="464"/>
      <c r="B26" s="14"/>
      <c r="C26" s="296" t="str">
        <f>IF(B26=0,"",VLOOKUP(B26,données!$D$2:$E$73,2,0))</f>
        <v/>
      </c>
      <c r="D26" s="292"/>
      <c r="E26" s="16"/>
      <c r="F26" s="16"/>
      <c r="G26" s="16"/>
      <c r="H26" s="16"/>
      <c r="I26" s="17"/>
      <c r="J26" s="17"/>
      <c r="K26" s="17"/>
      <c r="L26" s="17"/>
      <c r="M26" s="17"/>
      <c r="N26" s="17"/>
      <c r="O26" s="17"/>
      <c r="P26" s="17"/>
      <c r="Q26" s="17"/>
      <c r="R26" s="17"/>
      <c r="S26" s="17"/>
      <c r="T26" s="17"/>
      <c r="U26" s="17"/>
      <c r="V26" s="17"/>
      <c r="W26" s="17"/>
      <c r="X26" s="17"/>
      <c r="Y26" s="17"/>
      <c r="Z26" s="18"/>
      <c r="AA26" s="20">
        <f t="shared" si="11"/>
        <v>0</v>
      </c>
      <c r="AB26" s="22">
        <f t="shared" si="12"/>
        <v>0</v>
      </c>
      <c r="AC26" s="307"/>
      <c r="AD26" s="222">
        <f t="shared" si="13"/>
        <v>0</v>
      </c>
      <c r="AE26" s="396" t="s">
        <v>513</v>
      </c>
      <c r="AF26" s="397" t="e">
        <f>((AF25-(MAX(AF8:AF24)))/AF25)*100</f>
        <v>#DIV/0!</v>
      </c>
      <c r="AG26" s="397" t="e">
        <f t="shared" ref="AG26:AO26" si="25">((AG25-(MAX(AG8:AG24)))/AG25)*100</f>
        <v>#DIV/0!</v>
      </c>
      <c r="AH26" s="397" t="e">
        <f t="shared" si="25"/>
        <v>#DIV/0!</v>
      </c>
      <c r="AI26" s="397" t="e">
        <f t="shared" si="25"/>
        <v>#DIV/0!</v>
      </c>
      <c r="AJ26" s="397" t="e">
        <f t="shared" si="25"/>
        <v>#DIV/0!</v>
      </c>
      <c r="AK26" s="397" t="e">
        <f t="shared" si="25"/>
        <v>#DIV/0!</v>
      </c>
      <c r="AL26" s="397" t="e">
        <f t="shared" si="25"/>
        <v>#DIV/0!</v>
      </c>
      <c r="AM26" s="397" t="e">
        <f t="shared" si="25"/>
        <v>#DIV/0!</v>
      </c>
      <c r="AN26" s="397" t="e">
        <f t="shared" si="25"/>
        <v>#DIV/0!</v>
      </c>
      <c r="AO26" s="397" t="e">
        <f t="shared" si="25"/>
        <v>#DIV/0!</v>
      </c>
      <c r="AP26" s="397" t="e">
        <f t="shared" ref="AP26" si="26">((AP5-(MAX(AP8:AP24)))/AP5)*100</f>
        <v>#DIV/0!</v>
      </c>
    </row>
    <row r="27" spans="1:42" ht="16.5">
      <c r="A27" s="464"/>
      <c r="B27" s="14"/>
      <c r="C27" s="296" t="str">
        <f>IF(B27=0,"",VLOOKUP(B27,données!$D$2:$E$73,2,0))</f>
        <v/>
      </c>
      <c r="D27" s="292"/>
      <c r="E27" s="16"/>
      <c r="F27" s="16"/>
      <c r="G27" s="16"/>
      <c r="H27" s="16"/>
      <c r="I27" s="17"/>
      <c r="J27" s="17"/>
      <c r="K27" s="17"/>
      <c r="L27" s="17"/>
      <c r="M27" s="17"/>
      <c r="N27" s="17"/>
      <c r="O27" s="17"/>
      <c r="P27" s="17"/>
      <c r="Q27" s="17"/>
      <c r="R27" s="17"/>
      <c r="S27" s="17"/>
      <c r="T27" s="17"/>
      <c r="U27" s="17"/>
      <c r="V27" s="17"/>
      <c r="W27" s="17"/>
      <c r="X27" s="17"/>
      <c r="Y27" s="17"/>
      <c r="Z27" s="18"/>
      <c r="AA27" s="20">
        <f t="shared" si="11"/>
        <v>0</v>
      </c>
      <c r="AB27" s="22">
        <f t="shared" si="12"/>
        <v>0</v>
      </c>
      <c r="AC27" s="307"/>
      <c r="AD27" s="222">
        <f t="shared" si="13"/>
        <v>0</v>
      </c>
      <c r="AE27" s="398" t="s">
        <v>470</v>
      </c>
      <c r="AF27" s="397">
        <f>IF(SUM(AF8:AF23)&gt;0,COUNTIF(AF8:AF23,"&gt;0"),0)</f>
        <v>0</v>
      </c>
      <c r="AG27" s="397">
        <f t="shared" ref="AG27:AP27" si="27">IF(SUM(AG8:AG23)&gt;0,COUNTIF(AG8:AG23,"&gt;0"),0)</f>
        <v>0</v>
      </c>
      <c r="AH27" s="397">
        <f t="shared" si="27"/>
        <v>0</v>
      </c>
      <c r="AI27" s="397">
        <f t="shared" si="27"/>
        <v>0</v>
      </c>
      <c r="AJ27" s="397">
        <f t="shared" si="27"/>
        <v>0</v>
      </c>
      <c r="AK27" s="397">
        <f t="shared" si="27"/>
        <v>0</v>
      </c>
      <c r="AL27" s="397">
        <f t="shared" si="27"/>
        <v>0</v>
      </c>
      <c r="AM27" s="397">
        <f t="shared" si="27"/>
        <v>0</v>
      </c>
      <c r="AN27" s="397">
        <f t="shared" si="27"/>
        <v>0</v>
      </c>
      <c r="AO27" s="397">
        <f t="shared" si="27"/>
        <v>0</v>
      </c>
      <c r="AP27" s="397">
        <f t="shared" si="27"/>
        <v>0</v>
      </c>
    </row>
    <row r="28" spans="1:42" ht="16.5">
      <c r="A28" s="464"/>
      <c r="B28" s="14"/>
      <c r="C28" s="296" t="str">
        <f>IF(B28=0,"",VLOOKUP(B28,données!$D$2:$E$73,2,0))</f>
        <v/>
      </c>
      <c r="D28" s="292"/>
      <c r="E28" s="16"/>
      <c r="F28" s="16"/>
      <c r="G28" s="16"/>
      <c r="H28" s="16"/>
      <c r="I28" s="17"/>
      <c r="J28" s="17"/>
      <c r="K28" s="17"/>
      <c r="L28" s="17"/>
      <c r="M28" s="17"/>
      <c r="N28" s="17"/>
      <c r="O28" s="17"/>
      <c r="P28" s="17"/>
      <c r="Q28" s="17"/>
      <c r="R28" s="17"/>
      <c r="S28" s="17"/>
      <c r="T28" s="17"/>
      <c r="U28" s="17"/>
      <c r="V28" s="17"/>
      <c r="W28" s="17"/>
      <c r="X28" s="17"/>
      <c r="Y28" s="17"/>
      <c r="Z28" s="18"/>
      <c r="AA28" s="20">
        <f t="shared" si="11"/>
        <v>0</v>
      </c>
      <c r="AB28" s="22">
        <f t="shared" si="12"/>
        <v>0</v>
      </c>
      <c r="AC28" s="307"/>
      <c r="AD28" s="222">
        <f t="shared" si="13"/>
        <v>0</v>
      </c>
      <c r="AE28" s="399" t="s">
        <v>514</v>
      </c>
      <c r="AF28" s="400">
        <f t="shared" ref="AF28:AP28" si="28">IF(OR(AF25&gt;4,AF25=4),20,0)</f>
        <v>0</v>
      </c>
      <c r="AG28" s="400">
        <f t="shared" si="28"/>
        <v>0</v>
      </c>
      <c r="AH28" s="400">
        <f t="shared" si="28"/>
        <v>0</v>
      </c>
      <c r="AI28" s="400">
        <f t="shared" si="28"/>
        <v>0</v>
      </c>
      <c r="AJ28" s="400">
        <f t="shared" si="28"/>
        <v>0</v>
      </c>
      <c r="AK28" s="400">
        <f t="shared" si="28"/>
        <v>0</v>
      </c>
      <c r="AL28" s="400">
        <f t="shared" si="28"/>
        <v>0</v>
      </c>
      <c r="AM28" s="400">
        <f t="shared" si="28"/>
        <v>0</v>
      </c>
      <c r="AN28" s="400">
        <f t="shared" si="28"/>
        <v>0</v>
      </c>
      <c r="AO28" s="400">
        <f t="shared" si="28"/>
        <v>0</v>
      </c>
      <c r="AP28" s="400">
        <f t="shared" si="28"/>
        <v>0</v>
      </c>
    </row>
    <row r="29" spans="1:42" ht="16.5">
      <c r="A29" s="464"/>
      <c r="B29" s="14"/>
      <c r="C29" s="296" t="str">
        <f>IF(B29=0,"",VLOOKUP(B29,données!$D$2:$E$73,2,0))</f>
        <v/>
      </c>
      <c r="D29" s="292"/>
      <c r="E29" s="16"/>
      <c r="F29" s="16"/>
      <c r="G29" s="16"/>
      <c r="H29" s="16"/>
      <c r="I29" s="17"/>
      <c r="J29" s="17"/>
      <c r="K29" s="17"/>
      <c r="L29" s="17"/>
      <c r="M29" s="17"/>
      <c r="N29" s="17"/>
      <c r="O29" s="17"/>
      <c r="P29" s="17"/>
      <c r="Q29" s="17"/>
      <c r="R29" s="17"/>
      <c r="S29" s="17"/>
      <c r="T29" s="17"/>
      <c r="U29" s="17"/>
      <c r="V29" s="17"/>
      <c r="W29" s="17"/>
      <c r="X29" s="17"/>
      <c r="Y29" s="17"/>
      <c r="Z29" s="18"/>
      <c r="AA29" s="20">
        <f t="shared" si="11"/>
        <v>0</v>
      </c>
      <c r="AB29" s="22">
        <f t="shared" si="12"/>
        <v>0</v>
      </c>
      <c r="AC29" s="307"/>
      <c r="AD29" s="222">
        <f t="shared" si="13"/>
        <v>0</v>
      </c>
      <c r="AE29" s="399" t="s">
        <v>471</v>
      </c>
      <c r="AF29" s="400">
        <f t="shared" ref="AF29:AP29" si="29">IF(AF25&gt;25,3,IF(OR(AF25&gt;4,AF25=4),2,IF(AF25&lt;4,0)))</f>
        <v>0</v>
      </c>
      <c r="AG29" s="400">
        <f t="shared" si="29"/>
        <v>0</v>
      </c>
      <c r="AH29" s="400">
        <f t="shared" si="29"/>
        <v>0</v>
      </c>
      <c r="AI29" s="400">
        <f t="shared" si="29"/>
        <v>0</v>
      </c>
      <c r="AJ29" s="400">
        <f t="shared" si="29"/>
        <v>0</v>
      </c>
      <c r="AK29" s="400">
        <f t="shared" si="29"/>
        <v>0</v>
      </c>
      <c r="AL29" s="400">
        <f t="shared" si="29"/>
        <v>0</v>
      </c>
      <c r="AM29" s="400">
        <f t="shared" si="29"/>
        <v>0</v>
      </c>
      <c r="AN29" s="400">
        <f t="shared" si="29"/>
        <v>0</v>
      </c>
      <c r="AO29" s="400">
        <f t="shared" si="29"/>
        <v>0</v>
      </c>
      <c r="AP29" s="400">
        <f t="shared" si="29"/>
        <v>0</v>
      </c>
    </row>
    <row r="30" spans="1:42" ht="16.5">
      <c r="A30" s="464"/>
      <c r="B30" s="14"/>
      <c r="C30" s="296" t="str">
        <f>IF(B30=0,"",VLOOKUP(B30,données!$D$2:$E$73,2,0))</f>
        <v/>
      </c>
      <c r="D30" s="292"/>
      <c r="E30" s="16"/>
      <c r="F30" s="16"/>
      <c r="G30" s="16"/>
      <c r="H30" s="16"/>
      <c r="I30" s="17"/>
      <c r="J30" s="17"/>
      <c r="K30" s="17"/>
      <c r="L30" s="17"/>
      <c r="M30" s="17"/>
      <c r="N30" s="17"/>
      <c r="O30" s="17"/>
      <c r="P30" s="17"/>
      <c r="Q30" s="17"/>
      <c r="R30" s="17"/>
      <c r="S30" s="17"/>
      <c r="T30" s="17"/>
      <c r="U30" s="17"/>
      <c r="V30" s="17"/>
      <c r="W30" s="17"/>
      <c r="X30" s="17"/>
      <c r="Y30" s="17"/>
      <c r="Z30" s="18"/>
      <c r="AA30" s="20">
        <f t="shared" si="11"/>
        <v>0</v>
      </c>
      <c r="AB30" s="22">
        <f t="shared" si="12"/>
        <v>0</v>
      </c>
      <c r="AC30" s="307"/>
      <c r="AD30" s="222">
        <f t="shared" si="13"/>
        <v>0</v>
      </c>
    </row>
    <row r="31" spans="1:42" ht="16.5">
      <c r="A31" s="464"/>
      <c r="B31" s="14"/>
      <c r="C31" s="296" t="str">
        <f>IF(B31=0,"",VLOOKUP(B31,données!$D$2:$E$73,2,0))</f>
        <v/>
      </c>
      <c r="D31" s="292"/>
      <c r="E31" s="16"/>
      <c r="F31" s="16"/>
      <c r="G31" s="16"/>
      <c r="H31" s="16"/>
      <c r="I31" s="17"/>
      <c r="J31" s="17"/>
      <c r="K31" s="17"/>
      <c r="L31" s="17"/>
      <c r="M31" s="17"/>
      <c r="N31" s="17"/>
      <c r="O31" s="17"/>
      <c r="P31" s="17"/>
      <c r="Q31" s="17"/>
      <c r="R31" s="17"/>
      <c r="S31" s="17"/>
      <c r="T31" s="17"/>
      <c r="U31" s="17"/>
      <c r="V31" s="17"/>
      <c r="W31" s="17"/>
      <c r="X31" s="17"/>
      <c r="Y31" s="17"/>
      <c r="Z31" s="18"/>
      <c r="AA31" s="20">
        <f t="shared" si="11"/>
        <v>0</v>
      </c>
      <c r="AB31" s="22">
        <f t="shared" si="12"/>
        <v>0</v>
      </c>
      <c r="AC31" s="307"/>
      <c r="AD31" s="25">
        <f t="shared" si="13"/>
        <v>0</v>
      </c>
    </row>
    <row r="32" spans="1:42" ht="16.5">
      <c r="A32" s="464"/>
      <c r="B32" s="14"/>
      <c r="C32" s="296" t="str">
        <f>IF(B32=0,"",VLOOKUP(B32,données!$D$2:$E$73,2,0))</f>
        <v/>
      </c>
      <c r="D32" s="292"/>
      <c r="E32" s="16"/>
      <c r="F32" s="16"/>
      <c r="G32" s="16"/>
      <c r="H32" s="16"/>
      <c r="I32" s="17"/>
      <c r="J32" s="17"/>
      <c r="K32" s="17"/>
      <c r="L32" s="17"/>
      <c r="M32" s="17"/>
      <c r="N32" s="17"/>
      <c r="O32" s="17"/>
      <c r="P32" s="17"/>
      <c r="Q32" s="17"/>
      <c r="R32" s="17"/>
      <c r="S32" s="17"/>
      <c r="T32" s="17"/>
      <c r="U32" s="17"/>
      <c r="V32" s="17"/>
      <c r="W32" s="17"/>
      <c r="X32" s="17"/>
      <c r="Y32" s="17"/>
      <c r="Z32" s="18"/>
      <c r="AA32" s="20">
        <f t="shared" si="11"/>
        <v>0</v>
      </c>
      <c r="AB32" s="22">
        <f t="shared" si="12"/>
        <v>0</v>
      </c>
      <c r="AC32" s="307"/>
      <c r="AD32" s="25">
        <f t="shared" si="13"/>
        <v>0</v>
      </c>
    </row>
    <row r="33" spans="1:30" ht="16.5">
      <c r="A33" s="464"/>
      <c r="B33" s="14"/>
      <c r="C33" s="296" t="str">
        <f>IF(B33=0,"",VLOOKUP(B33,données!$D$2:$E$73,2,0))</f>
        <v/>
      </c>
      <c r="D33" s="292"/>
      <c r="E33" s="16"/>
      <c r="F33" s="16"/>
      <c r="G33" s="16"/>
      <c r="H33" s="16"/>
      <c r="I33" s="17"/>
      <c r="J33" s="17"/>
      <c r="K33" s="17"/>
      <c r="L33" s="17"/>
      <c r="M33" s="17"/>
      <c r="N33" s="17"/>
      <c r="O33" s="17"/>
      <c r="P33" s="17"/>
      <c r="Q33" s="17"/>
      <c r="R33" s="17"/>
      <c r="S33" s="17"/>
      <c r="T33" s="17"/>
      <c r="U33" s="17"/>
      <c r="V33" s="17"/>
      <c r="W33" s="17"/>
      <c r="X33" s="17"/>
      <c r="Y33" s="17"/>
      <c r="Z33" s="18"/>
      <c r="AA33" s="20">
        <f t="shared" si="11"/>
        <v>0</v>
      </c>
      <c r="AB33" s="22">
        <f t="shared" si="12"/>
        <v>0</v>
      </c>
      <c r="AC33" s="307"/>
      <c r="AD33" s="25">
        <f t="shared" si="13"/>
        <v>0</v>
      </c>
    </row>
    <row r="34" spans="1:30" ht="16.5">
      <c r="A34" s="464"/>
      <c r="B34" s="14"/>
      <c r="C34" s="296" t="str">
        <f>IF(B34=0,"",VLOOKUP(B34,données!$D$2:$E$73,2,0))</f>
        <v/>
      </c>
      <c r="D34" s="292"/>
      <c r="E34" s="16"/>
      <c r="F34" s="16"/>
      <c r="G34" s="16"/>
      <c r="H34" s="16"/>
      <c r="I34" s="17"/>
      <c r="J34" s="17"/>
      <c r="K34" s="17"/>
      <c r="L34" s="17"/>
      <c r="M34" s="17"/>
      <c r="N34" s="17"/>
      <c r="O34" s="17"/>
      <c r="P34" s="17"/>
      <c r="Q34" s="17"/>
      <c r="R34" s="17"/>
      <c r="S34" s="17"/>
      <c r="T34" s="17"/>
      <c r="U34" s="17"/>
      <c r="V34" s="17"/>
      <c r="W34" s="17"/>
      <c r="X34" s="17"/>
      <c r="Y34" s="17"/>
      <c r="Z34" s="18"/>
      <c r="AA34" s="20">
        <f t="shared" si="11"/>
        <v>0</v>
      </c>
      <c r="AB34" s="22">
        <f t="shared" si="12"/>
        <v>0</v>
      </c>
      <c r="AC34" s="307"/>
      <c r="AD34" s="25">
        <f t="shared" si="13"/>
        <v>0</v>
      </c>
    </row>
    <row r="35" spans="1:30" ht="16.5">
      <c r="A35" s="464"/>
      <c r="B35" s="14"/>
      <c r="C35" s="296" t="str">
        <f>IF(B35=0,"",VLOOKUP(B35,données!$D$2:$E$73,2,0))</f>
        <v/>
      </c>
      <c r="D35" s="292"/>
      <c r="E35" s="16"/>
      <c r="F35" s="16"/>
      <c r="G35" s="16"/>
      <c r="H35" s="16"/>
      <c r="I35" s="17"/>
      <c r="J35" s="17"/>
      <c r="K35" s="17"/>
      <c r="L35" s="17"/>
      <c r="M35" s="17"/>
      <c r="N35" s="17"/>
      <c r="O35" s="17"/>
      <c r="P35" s="17"/>
      <c r="Q35" s="17"/>
      <c r="R35" s="17"/>
      <c r="S35" s="17"/>
      <c r="T35" s="17"/>
      <c r="U35" s="17"/>
      <c r="V35" s="17"/>
      <c r="W35" s="17"/>
      <c r="X35" s="17"/>
      <c r="Y35" s="17"/>
      <c r="Z35" s="18"/>
      <c r="AA35" s="20">
        <f t="shared" si="11"/>
        <v>0</v>
      </c>
      <c r="AB35" s="22">
        <f t="shared" si="12"/>
        <v>0</v>
      </c>
      <c r="AC35" s="307"/>
      <c r="AD35" s="25">
        <f t="shared" si="13"/>
        <v>0</v>
      </c>
    </row>
    <row r="36" spans="1:30" ht="17" thickBot="1">
      <c r="A36" s="465"/>
      <c r="B36" s="14"/>
      <c r="C36" s="296" t="str">
        <f>IF(B36=0,"",VLOOKUP(B36,données!$D$2:$E$73,2,0))</f>
        <v/>
      </c>
      <c r="D36" s="292"/>
      <c r="E36" s="16"/>
      <c r="F36" s="16"/>
      <c r="G36" s="16"/>
      <c r="H36" s="16"/>
      <c r="I36" s="17"/>
      <c r="J36" s="17"/>
      <c r="K36" s="17"/>
      <c r="L36" s="17"/>
      <c r="M36" s="17"/>
      <c r="N36" s="17"/>
      <c r="O36" s="17"/>
      <c r="P36" s="17"/>
      <c r="Q36" s="17"/>
      <c r="R36" s="17"/>
      <c r="S36" s="17"/>
      <c r="T36" s="17"/>
      <c r="U36" s="17"/>
      <c r="V36" s="17"/>
      <c r="W36" s="17"/>
      <c r="X36" s="17"/>
      <c r="Y36" s="17"/>
      <c r="Z36" s="18"/>
      <c r="AA36" s="20">
        <f t="shared" si="11"/>
        <v>0</v>
      </c>
      <c r="AB36" s="23">
        <f t="shared" si="12"/>
        <v>0</v>
      </c>
      <c r="AC36" s="316"/>
      <c r="AD36" s="26">
        <f t="shared" si="13"/>
        <v>0</v>
      </c>
    </row>
    <row r="37" spans="1:30" ht="15" thickBot="1">
      <c r="A37" s="628" t="s">
        <v>460</v>
      </c>
      <c r="B37" s="629"/>
      <c r="C37" s="630"/>
      <c r="D37" s="227"/>
      <c r="E37" s="227">
        <f t="shared" ref="D37:Z37" si="30">IF(E14="",0,IF(SUM(E15:E36)=E14,E14,"écart sur ilot"))</f>
        <v>0</v>
      </c>
      <c r="F37" s="227">
        <f t="shared" si="30"/>
        <v>0</v>
      </c>
      <c r="G37" s="227">
        <f t="shared" si="30"/>
        <v>0</v>
      </c>
      <c r="H37" s="227">
        <f t="shared" si="30"/>
        <v>0</v>
      </c>
      <c r="I37" s="227">
        <f t="shared" si="30"/>
        <v>0</v>
      </c>
      <c r="J37" s="227">
        <f t="shared" si="30"/>
        <v>0</v>
      </c>
      <c r="K37" s="227">
        <f t="shared" si="30"/>
        <v>0</v>
      </c>
      <c r="L37" s="227">
        <f t="shared" si="30"/>
        <v>0</v>
      </c>
      <c r="M37" s="227">
        <f t="shared" si="30"/>
        <v>0</v>
      </c>
      <c r="N37" s="227">
        <f t="shared" si="30"/>
        <v>0</v>
      </c>
      <c r="O37" s="227">
        <f t="shared" si="30"/>
        <v>0</v>
      </c>
      <c r="P37" s="227">
        <f t="shared" si="30"/>
        <v>0</v>
      </c>
      <c r="Q37" s="227">
        <f t="shared" si="30"/>
        <v>0</v>
      </c>
      <c r="R37" s="227">
        <f t="shared" si="30"/>
        <v>0</v>
      </c>
      <c r="S37" s="227">
        <f t="shared" si="30"/>
        <v>0</v>
      </c>
      <c r="T37" s="227">
        <f t="shared" si="30"/>
        <v>0</v>
      </c>
      <c r="U37" s="227">
        <f t="shared" si="30"/>
        <v>0</v>
      </c>
      <c r="V37" s="227">
        <f t="shared" si="30"/>
        <v>0</v>
      </c>
      <c r="W37" s="227">
        <f t="shared" si="30"/>
        <v>0</v>
      </c>
      <c r="X37" s="227">
        <f t="shared" si="30"/>
        <v>0</v>
      </c>
      <c r="Y37" s="227">
        <f t="shared" si="30"/>
        <v>0</v>
      </c>
      <c r="Z37" s="227">
        <f t="shared" si="30"/>
        <v>0</v>
      </c>
      <c r="AA37" s="21">
        <f>SUM(AA15:AA36)</f>
        <v>0</v>
      </c>
      <c r="AB37" s="22"/>
      <c r="AC37" s="307"/>
      <c r="AD37" s="25"/>
    </row>
    <row r="38" spans="1:30" ht="14.5" customHeight="1">
      <c r="A38" s="162"/>
      <c r="B38" s="631" t="s">
        <v>131</v>
      </c>
      <c r="C38" s="632"/>
      <c r="D38" s="27" t="s">
        <v>19</v>
      </c>
      <c r="E38" s="28"/>
      <c r="F38" s="28"/>
      <c r="G38" s="28"/>
      <c r="H38" s="28"/>
      <c r="I38" s="29"/>
      <c r="J38" s="28"/>
      <c r="K38" s="28"/>
      <c r="L38" s="28"/>
      <c r="M38" s="28"/>
      <c r="N38" s="28"/>
      <c r="O38" s="28"/>
      <c r="P38" s="28"/>
      <c r="Q38" s="28"/>
      <c r="R38" s="28"/>
      <c r="S38" s="28"/>
      <c r="T38" s="28"/>
      <c r="U38" s="28"/>
      <c r="V38" s="28"/>
      <c r="W38" s="28"/>
      <c r="X38" s="28"/>
      <c r="Y38" s="28"/>
      <c r="Z38" s="28"/>
      <c r="AA38" s="265"/>
      <c r="AB38" s="232"/>
      <c r="AC38" s="232"/>
      <c r="AD38" s="232"/>
    </row>
    <row r="39" spans="1:30">
      <c r="A39" s="163"/>
      <c r="B39" s="572" t="s">
        <v>132</v>
      </c>
      <c r="C39" s="573"/>
      <c r="D39" s="604" t="str">
        <f>CONCATENATE(IF(AA37&lt;4,"&lt; 4ha", IF(AA37&gt;10,"&gt; 10ha","4-10ha")))</f>
        <v>&lt; 4ha</v>
      </c>
      <c r="E39" s="604"/>
      <c r="F39" s="604"/>
      <c r="G39" s="604"/>
      <c r="H39" s="604"/>
      <c r="I39" s="604"/>
      <c r="J39" s="604"/>
      <c r="K39" s="604"/>
      <c r="L39" s="604"/>
      <c r="M39" s="604"/>
      <c r="N39" s="604"/>
      <c r="O39" s="604"/>
      <c r="P39" s="604"/>
      <c r="Q39" s="604"/>
      <c r="R39" s="604"/>
      <c r="S39" s="604"/>
      <c r="T39" s="604"/>
      <c r="U39" s="604"/>
      <c r="V39" s="604"/>
      <c r="W39" s="604"/>
      <c r="X39" s="604"/>
      <c r="Y39" s="604"/>
      <c r="Z39" s="604"/>
      <c r="AA39" s="266"/>
      <c r="AB39" s="269"/>
      <c r="AC39" s="317"/>
      <c r="AD39" s="270"/>
    </row>
    <row r="40" spans="1:30">
      <c r="A40" s="496" t="s">
        <v>265</v>
      </c>
      <c r="B40" s="605" t="s">
        <v>457</v>
      </c>
      <c r="C40" s="30" t="s">
        <v>33</v>
      </c>
      <c r="D40" s="31" t="str">
        <f>IF(OR(D$6="2f",D$6=3,D$6=4),"",IF(OR(SUMIF($C$15:$C$36,$C40,D$15:D$36)=0,D$13&gt;0),"",IF(D$38=0,"zone géo ?",SUMIF($C$15:$C$36,$C40,D$15:D$36)*IF(ISNA(VLOOKUP(CONCATENATE($C40,D$38," ",$D$39),données!$L$3:$M$47,2,0)),"",VLOOKUP(CONCATENATE($C40,D$38," ",$D$39),données!$L$3:$M$47,2,0)))))</f>
        <v/>
      </c>
      <c r="E40" s="31" t="str">
        <f>IF(OR(E$6="2f",E$6=3,E$6=4),"",IF(OR(SUMIF($C$15:$C$36,$C40,E$15:E$36)=0,E$13&gt;0),"",IF(E$38=0,"zone géo ?",SUMIF($C$15:$C$36,$C40,E$15:E$36)*IF(ISNA(VLOOKUP(CONCATENATE($C40,E$38," ",$D$39),données!$L$3:$M$47,2,0)),"",VLOOKUP(CONCATENATE($C40,E$38," ",$D$39),données!$L$3:$M$47,2,0)))))</f>
        <v/>
      </c>
      <c r="F40" s="31" t="str">
        <f>IF(OR(F$6="2f",F$6=3,F$6=4),"",IF(OR(SUMIF($C$15:$C$36,$C40,F$15:F$36)=0,F$13&gt;0),"",IF(F$38=0,"zone géo ?",SUMIF($C$15:$C$36,$C40,F$15:F$36)*IF(ISNA(VLOOKUP(CONCATENATE($C40,F$38," ",$D$39),données!$L$3:$M$47,2,0)),"",VLOOKUP(CONCATENATE($C40,F$38," ",$D$39),données!$L$3:$M$47,2,0)))))</f>
        <v/>
      </c>
      <c r="G40" s="31" t="str">
        <f>IF(OR(G$6="2f",G$6=3,G$6=4),"",IF(OR(SUMIF($C$15:$C$36,$C40,G$15:G$36)=0,G$13&gt;0),"",IF(G$38=0,"zone géo ?",SUMIF($C$15:$C$36,$C40,G$15:G$36)*IF(ISNA(VLOOKUP(CONCATENATE($C40,G$38," ",$D$39),données!$L$3:$M$47,2,0)),"",VLOOKUP(CONCATENATE($C40,G$38," ",$D$39),données!$L$3:$M$47,2,0)))))</f>
        <v/>
      </c>
      <c r="H40" s="31" t="str">
        <f>IF(OR(H$6="2f",H$6=3,H$6=4),"",IF(OR(SUMIF($C$15:$C$36,$C40,H$15:H$36)=0,H$13&gt;0),"",IF(H$38=0,"zone géo ?",SUMIF($C$15:$C$36,$C40,H$15:H$36)*IF(ISNA(VLOOKUP(CONCATENATE($C40,H$38," ",$D$39),données!$L$3:$M$47,2,0)),"",VLOOKUP(CONCATENATE($C40,H$38," ",$D$39),données!$L$3:$M$47,2,0)))))</f>
        <v/>
      </c>
      <c r="I40" s="31" t="str">
        <f>IF(OR(I$6="2f",I$6=3,I$6=4),"",IF(OR(SUMIF($C$15:$C$36,$C40,I$15:I$36)=0,I$13&gt;0),"",IF(I$38=0,"zone géo ?",SUMIF($C$15:$C$36,$C40,I$15:I$36)*IF(ISNA(VLOOKUP(CONCATENATE($C40,I$38," ",$D$39),données!$L$3:$M$47,2,0)),"",VLOOKUP(CONCATENATE($C40,I$38," ",$D$39),données!$L$3:$M$47,2,0)))))</f>
        <v/>
      </c>
      <c r="J40" s="31" t="str">
        <f>IF(OR(J$6="2f",J$6=3,J$6=4),"",IF(OR(SUMIF($C$15:$C$36,$C40,J$15:J$36)=0,J$13&gt;0),"",IF(J$38=0,"zone géo ?",SUMIF($C$15:$C$36,$C40,J$15:J$36)*IF(ISNA(VLOOKUP(CONCATENATE($C40,J$38," ",$D$39),données!$L$3:$M$47,2,0)),"",VLOOKUP(CONCATENATE($C40,J$38," ",$D$39),données!$L$3:$M$47,2,0)))))</f>
        <v/>
      </c>
      <c r="K40" s="31" t="str">
        <f>IF(OR(K$6="2f",K$6=3,K$6=4),"",IF(OR(SUMIF($C$15:$C$36,$C40,K$15:K$36)=0,K$13&gt;0),"",IF(K$38=0,"zone géo ?",SUMIF($C$15:$C$36,$C40,K$15:K$36)*IF(ISNA(VLOOKUP(CONCATENATE($C40,K$38," ",$D$39),données!$L$3:$M$47,2,0)),"",VLOOKUP(CONCATENATE($C40,K$38," ",$D$39),données!$L$3:$M$47,2,0)))))</f>
        <v/>
      </c>
      <c r="L40" s="31" t="str">
        <f>IF(OR(L$6="2f",L$6=3,L$6=4),"",IF(OR(SUMIF($C$15:$C$36,$C40,L$15:L$36)=0,L$13&gt;0),"",IF(L$38=0,"zone géo ?",SUMIF($C$15:$C$36,$C40,L$15:L$36)*IF(ISNA(VLOOKUP(CONCATENATE($C40,L$38," ",$D$39),données!$L$3:$M$47,2,0)),"",VLOOKUP(CONCATENATE($C40,L$38," ",$D$39),données!$L$3:$M$47,2,0)))))</f>
        <v/>
      </c>
      <c r="M40" s="31" t="str">
        <f>IF(OR(M$6="2f",M$6=3,M$6=4),"",IF(OR(SUMIF($C$15:$C$36,$C40,M$15:M$36)=0,M$13&gt;0),"",IF(M$38=0,"zone géo ?",SUMIF($C$15:$C$36,$C40,M$15:M$36)*IF(ISNA(VLOOKUP(CONCATENATE($C40,M$38," ",$D$39),données!$L$3:$M$47,2,0)),"",VLOOKUP(CONCATENATE($C40,M$38," ",$D$39),données!$L$3:$M$47,2,0)))))</f>
        <v/>
      </c>
      <c r="N40" s="31" t="str">
        <f>IF(OR(N$6="2f",N$6=3,N$6=4),"",IF(OR(SUMIF($C$15:$C$36,$C40,N$15:N$36)=0,N$13&gt;0),"",IF(N$38=0,"zone géo ?",SUMIF($C$15:$C$36,$C40,N$15:N$36)*IF(ISNA(VLOOKUP(CONCATENATE($C40,N$38," ",$D$39),données!$L$3:$M$47,2,0)),"",VLOOKUP(CONCATENATE($C40,N$38," ",$D$39),données!$L$3:$M$47,2,0)))))</f>
        <v/>
      </c>
      <c r="O40" s="31" t="str">
        <f>IF(OR(O$6="2f",O$6=3,O$6=4),"",IF(OR(SUMIF($C$15:$C$36,$C40,O$15:O$36)=0,O$13&gt;0),"",IF(O$38=0,"zone géo ?",SUMIF($C$15:$C$36,$C40,O$15:O$36)*IF(ISNA(VLOOKUP(CONCATENATE($C40,O$38," ",$D$39),données!$L$3:$M$47,2,0)),"",VLOOKUP(CONCATENATE($C40,O$38," ",$D$39),données!$L$3:$M$47,2,0)))))</f>
        <v/>
      </c>
      <c r="P40" s="31" t="str">
        <f>IF(OR(P$6="2f",P$6=3,P$6=4),"",IF(OR(SUMIF($C$15:$C$36,$C40,P$15:P$36)=0,P$13&gt;0),"",IF(P$38=0,"zone géo ?",SUMIF($C$15:$C$36,$C40,P$15:P$36)*IF(ISNA(VLOOKUP(CONCATENATE($C40,P$38," ",$D$39),données!$L$3:$M$47,2,0)),"",VLOOKUP(CONCATENATE($C40,P$38," ",$D$39),données!$L$3:$M$47,2,0)))))</f>
        <v/>
      </c>
      <c r="Q40" s="31" t="str">
        <f>IF(OR(Q$6="2f",Q$6=3,Q$6=4),"",IF(OR(SUMIF($C$15:$C$36,$C40,Q$15:Q$36)=0,Q$13&gt;0),"",IF(Q$38=0,"zone géo ?",SUMIF($C$15:$C$36,$C40,Q$15:Q$36)*IF(ISNA(VLOOKUP(CONCATENATE($C40,Q$38," ",$D$39),données!$L$3:$M$47,2,0)),"",VLOOKUP(CONCATENATE($C40,Q$38," ",$D$39),données!$L$3:$M$47,2,0)))))</f>
        <v/>
      </c>
      <c r="R40" s="31" t="str">
        <f>IF(OR(R$6="2f",R$6=3,R$6=4),"",IF(OR(SUMIF($C$15:$C$36,$C40,R$15:R$36)=0,R$13&gt;0),"",IF(R$38=0,"zone géo ?",SUMIF($C$15:$C$36,$C40,R$15:R$36)*IF(ISNA(VLOOKUP(CONCATENATE($C40,R$38," ",$D$39),données!$L$3:$M$47,2,0)),"",VLOOKUP(CONCATENATE($C40,R$38," ",$D$39),données!$L$3:$M$47,2,0)))))</f>
        <v/>
      </c>
      <c r="S40" s="31" t="str">
        <f>IF(OR(S$6="2f",S$6=3,S$6=4),"",IF(OR(SUMIF($C$15:$C$36,$C40,S$15:S$36)=0,S$13&gt;0),"",IF(S$38=0,"zone géo ?",SUMIF($C$15:$C$36,$C40,S$15:S$36)*IF(ISNA(VLOOKUP(CONCATENATE($C40,S$38," ",$D$39),données!$L$3:$M$47,2,0)),"",VLOOKUP(CONCATENATE($C40,S$38," ",$D$39),données!$L$3:$M$47,2,0)))))</f>
        <v/>
      </c>
      <c r="T40" s="31" t="str">
        <f>IF(OR(T$6="2f",T$6=3,T$6=4),"",IF(OR(SUMIF($C$15:$C$36,$C40,T$15:T$36)=0,T$13&gt;0),"",IF(T$38=0,"zone géo ?",SUMIF($C$15:$C$36,$C40,T$15:T$36)*IF(ISNA(VLOOKUP(CONCATENATE($C40,T$38," ",$D$39),données!$L$3:$M$47,2,0)),"",VLOOKUP(CONCATENATE($C40,T$38," ",$D$39),données!$L$3:$M$47,2,0)))))</f>
        <v/>
      </c>
      <c r="U40" s="31" t="str">
        <f>IF(OR(U$6="2f",U$6=3,U$6=4),"",IF(OR(SUMIF($C$15:$C$36,$C40,U$15:U$36)=0,U$13&gt;0),"",IF(U$38=0,"zone géo ?",SUMIF($C$15:$C$36,$C40,U$15:U$36)*IF(ISNA(VLOOKUP(CONCATENATE($C40,U$38," ",$D$39),données!$L$3:$M$47,2,0)),"",VLOOKUP(CONCATENATE($C40,U$38," ",$D$39),données!$L$3:$M$47,2,0)))))</f>
        <v/>
      </c>
      <c r="V40" s="31" t="str">
        <f>IF(OR(V$6="2f",V$6=3,V$6=4),"",IF(OR(SUMIF($C$15:$C$36,$C40,V$15:V$36)=0,V$13&gt;0),"",IF(V$38=0,"zone géo ?",SUMIF($C$15:$C$36,$C40,V$15:V$36)*IF(ISNA(VLOOKUP(CONCATENATE($C40,V$38," ",$D$39),données!$L$3:$M$47,2,0)),"",VLOOKUP(CONCATENATE($C40,V$38," ",$D$39),données!$L$3:$M$47,2,0)))))</f>
        <v/>
      </c>
      <c r="W40" s="31" t="str">
        <f>IF(OR(W$6="2f",W$6=3,W$6=4),"",IF(OR(SUMIF($C$15:$C$36,$C40,W$15:W$36)=0,W$13&gt;0),"",IF(W$38=0,"zone géo ?",SUMIF($C$15:$C$36,$C40,W$15:W$36)*IF(ISNA(VLOOKUP(CONCATENATE($C40,W$38," ",$D$39),données!$L$3:$M$47,2,0)),"",VLOOKUP(CONCATENATE($C40,W$38," ",$D$39),données!$L$3:$M$47,2,0)))))</f>
        <v/>
      </c>
      <c r="X40" s="31" t="str">
        <f>IF(OR(X$6="2f",X$6=3,X$6=4),"",IF(OR(SUMIF($C$15:$C$36,$C40,X$15:X$36)=0,X$13&gt;0),"",IF(X$38=0,"zone géo ?",SUMIF($C$15:$C$36,$C40,X$15:X$36)*IF(ISNA(VLOOKUP(CONCATENATE($C40,X$38," ",$D$39),données!$L$3:$M$47,2,0)),"",VLOOKUP(CONCATENATE($C40,X$38," ",$D$39),données!$L$3:$M$47,2,0)))))</f>
        <v/>
      </c>
      <c r="Y40" s="31" t="str">
        <f>IF(OR(Y$6="2f",Y$6=3,Y$6=4),"",IF(OR(SUMIF($C$15:$C$36,$C40,Y$15:Y$36)=0,Y$13&gt;0),"",IF(Y$38=0,"zone géo ?",SUMIF($C$15:$C$36,$C40,Y$15:Y$36)*IF(ISNA(VLOOKUP(CONCATENATE($C40,Y$38," ",$D$39),données!$L$3:$M$47,2,0)),"",VLOOKUP(CONCATENATE($C40,Y$38," ",$D$39),données!$L$3:$M$47,2,0)))))</f>
        <v/>
      </c>
      <c r="Z40" s="31" t="str">
        <f>IF(OR(Z$6="2f",Z$6=3,Z$6=4),"",IF(OR(SUMIF($C$15:$C$36,$C40,Z$15:Z$36)=0,Z$13&gt;0),"",IF(Z$38=0,"zone géo ?",SUMIF($C$15:$C$36,$C40,Z$15:Z$36)*IF(ISNA(VLOOKUP(CONCATENATE($C40,Z$38," ",$D$39),données!$L$3:$M$47,2,0)),"",VLOOKUP(CONCATENATE($C40,Z$38," ",$D$39),données!$L$3:$M$47,2,0)))))</f>
        <v/>
      </c>
      <c r="AA40" s="266">
        <f>SUM(D40:Z40)</f>
        <v>0</v>
      </c>
      <c r="AB40" s="267"/>
      <c r="AC40" s="318"/>
      <c r="AD40" s="268"/>
    </row>
    <row r="41" spans="1:30">
      <c r="A41" s="496"/>
      <c r="B41" s="606"/>
      <c r="C41" s="30" t="s">
        <v>35</v>
      </c>
      <c r="D41" s="31" t="str">
        <f>IF(OR(D$6="2f",D$6=3,D$6=4),"",IF(OR(SUMIF($C$15:$C$36,$C41,D$15:D$36)=0,D$13&gt;0),"",IF(D$38=0,"zone géo ?",SUMIF($C$15:$C$36,$C41,D$15:D$36)*IF(ISNA(VLOOKUP(CONCATENATE($C41,D$38," ",$D$39),données!$L$3:$M$47,2,0)),"",VLOOKUP(CONCATENATE($C41,D$38," ",$D$39),données!$L$3:$M$47,2,0)))))</f>
        <v/>
      </c>
      <c r="E41" s="31" t="str">
        <f>IF(OR(E$6="2f",E$6=3,E$6=4),"",IF(OR(SUMIF($C$15:$C$36,$C41,E$15:E$36)=0,E$13&gt;0),"",IF(E$38=0,"zone géo ?",SUMIF($C$15:$C$36,$C41,E$15:E$36)*IF(ISNA(VLOOKUP(CONCATENATE($C41,E$38," ",$D$39),données!$L$3:$M$47,2,0)),"",VLOOKUP(CONCATENATE($C41,E$38," ",$D$39),données!$L$3:$M$47,2,0)))))</f>
        <v/>
      </c>
      <c r="F41" s="31" t="str">
        <f>IF(OR(F$6="2f",F$6=3,F$6=4),"",IF(OR(SUMIF($C$15:$C$36,$C41,F$15:F$36)=0,F$13&gt;0),"",IF(F$38=0,"zone géo ?",SUMIF($C$15:$C$36,$C41,F$15:F$36)*IF(ISNA(VLOOKUP(CONCATENATE($C41,F$38," ",$D$39),données!$L$3:$M$47,2,0)),"",VLOOKUP(CONCATENATE($C41,F$38," ",$D$39),données!$L$3:$M$47,2,0)))))</f>
        <v/>
      </c>
      <c r="G41" s="31" t="str">
        <f>IF(OR(G$6="2f",G$6=3,G$6=4),"",IF(OR(SUMIF($C$15:$C$36,$C41,G$15:G$36)=0,G$13&gt;0),"",IF(G$38=0,"zone géo ?",SUMIF($C$15:$C$36,$C41,G$15:G$36)*IF(ISNA(VLOOKUP(CONCATENATE($C41,G$38," ",$D$39),données!$L$3:$M$47,2,0)),"",VLOOKUP(CONCATENATE($C41,G$38," ",$D$39),données!$L$3:$M$47,2,0)))))</f>
        <v/>
      </c>
      <c r="H41" s="31" t="str">
        <f>IF(OR(H$6="2f",H$6=3,H$6=4),"",IF(OR(SUMIF($C$15:$C$36,$C41,H$15:H$36)=0,H$13&gt;0),"",IF(H$38=0,"zone géo ?",SUMIF($C$15:$C$36,$C41,H$15:H$36)*IF(ISNA(VLOOKUP(CONCATENATE($C41,H$38," ",$D$39),données!$L$3:$M$47,2,0)),"",VLOOKUP(CONCATENATE($C41,H$38," ",$D$39),données!$L$3:$M$47,2,0)))))</f>
        <v/>
      </c>
      <c r="I41" s="31" t="str">
        <f>IF(OR(I$6="2f",I$6=3,I$6=4),"",IF(OR(SUMIF($C$15:$C$36,$C41,I$15:I$36)=0,I$13&gt;0),"",IF(I$38=0,"zone géo ?",SUMIF($C$15:$C$36,$C41,I$15:I$36)*IF(ISNA(VLOOKUP(CONCATENATE($C41,I$38," ",$D$39),données!$L$3:$M$47,2,0)),"",VLOOKUP(CONCATENATE($C41,I$38," ",$D$39),données!$L$3:$M$47,2,0)))))</f>
        <v/>
      </c>
      <c r="J41" s="31" t="str">
        <f>IF(OR(J$6="2f",J$6=3,J$6=4),"",IF(OR(SUMIF($C$15:$C$36,$C41,J$15:J$36)=0,J$13&gt;0),"",IF(J$38=0,"zone géo ?",SUMIF($C$15:$C$36,$C41,J$15:J$36)*IF(ISNA(VLOOKUP(CONCATENATE($C41,J$38," ",$D$39),données!$L$3:$M$47,2,0)),"",VLOOKUP(CONCATENATE($C41,J$38," ",$D$39),données!$L$3:$M$47,2,0)))))</f>
        <v/>
      </c>
      <c r="K41" s="31" t="str">
        <f>IF(OR(K$6="2f",K$6=3,K$6=4),"",IF(OR(SUMIF($C$15:$C$36,$C41,K$15:K$36)=0,K$13&gt;0),"",IF(K$38=0,"zone géo ?",SUMIF($C$15:$C$36,$C41,K$15:K$36)*IF(ISNA(VLOOKUP(CONCATENATE($C41,K$38," ",$D$39),données!$L$3:$M$47,2,0)),"",VLOOKUP(CONCATENATE($C41,K$38," ",$D$39),données!$L$3:$M$47,2,0)))))</f>
        <v/>
      </c>
      <c r="L41" s="31" t="str">
        <f>IF(OR(L$6="2f",L$6=3,L$6=4),"",IF(OR(SUMIF($C$15:$C$36,$C41,L$15:L$36)=0,L$13&gt;0),"",IF(L$38=0,"zone géo ?",SUMIF($C$15:$C$36,$C41,L$15:L$36)*IF(ISNA(VLOOKUP(CONCATENATE($C41,L$38," ",$D$39),données!$L$3:$M$47,2,0)),"",VLOOKUP(CONCATENATE($C41,L$38," ",$D$39),données!$L$3:$M$47,2,0)))))</f>
        <v/>
      </c>
      <c r="M41" s="31" t="str">
        <f>IF(OR(M$6="2f",M$6=3,M$6=4),"",IF(OR(SUMIF($C$15:$C$36,$C41,M$15:M$36)=0,M$13&gt;0),"",IF(M$38=0,"zone géo ?",SUMIF($C$15:$C$36,$C41,M$15:M$36)*IF(ISNA(VLOOKUP(CONCATENATE($C41,M$38," ",$D$39),données!$L$3:$M$47,2,0)),"",VLOOKUP(CONCATENATE($C41,M$38," ",$D$39),données!$L$3:$M$47,2,0)))))</f>
        <v/>
      </c>
      <c r="N41" s="31" t="str">
        <f>IF(OR(N$6="2f",N$6=3,N$6=4),"",IF(OR(SUMIF($C$15:$C$36,$C41,N$15:N$36)=0,N$13&gt;0),"",IF(N$38=0,"zone géo ?",SUMIF($C$15:$C$36,$C41,N$15:N$36)*IF(ISNA(VLOOKUP(CONCATENATE($C41,N$38," ",$D$39),données!$L$3:$M$47,2,0)),"",VLOOKUP(CONCATENATE($C41,N$38," ",$D$39),données!$L$3:$M$47,2,0)))))</f>
        <v/>
      </c>
      <c r="O41" s="31" t="str">
        <f>IF(OR(O$6="2f",O$6=3,O$6=4),"",IF(OR(SUMIF($C$15:$C$36,$C41,O$15:O$36)=0,O$13&gt;0),"",IF(O$38=0,"zone géo ?",SUMIF($C$15:$C$36,$C41,O$15:O$36)*IF(ISNA(VLOOKUP(CONCATENATE($C41,O$38," ",$D$39),données!$L$3:$M$47,2,0)),"",VLOOKUP(CONCATENATE($C41,O$38," ",$D$39),données!$L$3:$M$47,2,0)))))</f>
        <v/>
      </c>
      <c r="P41" s="31" t="str">
        <f>IF(OR(P$6="2f",P$6=3,P$6=4),"",IF(OR(SUMIF($C$15:$C$36,$C41,P$15:P$36)=0,P$13&gt;0),"",IF(P$38=0,"zone géo ?",SUMIF($C$15:$C$36,$C41,P$15:P$36)*IF(ISNA(VLOOKUP(CONCATENATE($C41,P$38," ",$D$39),données!$L$3:$M$47,2,0)),"",VLOOKUP(CONCATENATE($C41,P$38," ",$D$39),données!$L$3:$M$47,2,0)))))</f>
        <v/>
      </c>
      <c r="Q41" s="31" t="str">
        <f>IF(OR(Q$6="2f",Q$6=3,Q$6=4),"",IF(OR(SUMIF($C$15:$C$36,$C41,Q$15:Q$36)=0,Q$13&gt;0),"",IF(Q$38=0,"zone géo ?",SUMIF($C$15:$C$36,$C41,Q$15:Q$36)*IF(ISNA(VLOOKUP(CONCATENATE($C41,Q$38," ",$D$39),données!$L$3:$M$47,2,0)),"",VLOOKUP(CONCATENATE($C41,Q$38," ",$D$39),données!$L$3:$M$47,2,0)))))</f>
        <v/>
      </c>
      <c r="R41" s="31" t="str">
        <f>IF(OR(R$6="2f",R$6=3,R$6=4),"",IF(OR(SUMIF($C$15:$C$36,$C41,R$15:R$36)=0,R$13&gt;0),"",IF(R$38=0,"zone géo ?",SUMIF($C$15:$C$36,$C41,R$15:R$36)*IF(ISNA(VLOOKUP(CONCATENATE($C41,R$38," ",$D$39),données!$L$3:$M$47,2,0)),"",VLOOKUP(CONCATENATE($C41,R$38," ",$D$39),données!$L$3:$M$47,2,0)))))</f>
        <v/>
      </c>
      <c r="S41" s="31" t="str">
        <f>IF(OR(S$6="2f",S$6=3,S$6=4),"",IF(OR(SUMIF($C$15:$C$36,$C41,S$15:S$36)=0,S$13&gt;0),"",IF(S$38=0,"zone géo ?",SUMIF($C$15:$C$36,$C41,S$15:S$36)*IF(ISNA(VLOOKUP(CONCATENATE($C41,S$38," ",$D$39),données!$L$3:$M$47,2,0)),"",VLOOKUP(CONCATENATE($C41,S$38," ",$D$39),données!$L$3:$M$47,2,0)))))</f>
        <v/>
      </c>
      <c r="T41" s="31" t="str">
        <f>IF(OR(T$6="2f",T$6=3,T$6=4),"",IF(OR(SUMIF($C$15:$C$36,$C41,T$15:T$36)=0,T$13&gt;0),"",IF(T$38=0,"zone géo ?",SUMIF($C$15:$C$36,$C41,T$15:T$36)*IF(ISNA(VLOOKUP(CONCATENATE($C41,T$38," ",$D$39),données!$L$3:$M$47,2,0)),"",VLOOKUP(CONCATENATE($C41,T$38," ",$D$39),données!$L$3:$M$47,2,0)))))</f>
        <v/>
      </c>
      <c r="U41" s="31" t="str">
        <f>IF(OR(U$6="2f",U$6=3,U$6=4),"",IF(OR(SUMIF($C$15:$C$36,$C41,U$15:U$36)=0,U$13&gt;0),"",IF(U$38=0,"zone géo ?",SUMIF($C$15:$C$36,$C41,U$15:U$36)*IF(ISNA(VLOOKUP(CONCATENATE($C41,U$38," ",$D$39),données!$L$3:$M$47,2,0)),"",VLOOKUP(CONCATENATE($C41,U$38," ",$D$39),données!$L$3:$M$47,2,0)))))</f>
        <v/>
      </c>
      <c r="V41" s="31" t="str">
        <f>IF(OR(V$6="2f",V$6=3,V$6=4),"",IF(OR(SUMIF($C$15:$C$36,$C41,V$15:V$36)=0,V$13&gt;0),"",IF(V$38=0,"zone géo ?",SUMIF($C$15:$C$36,$C41,V$15:V$36)*IF(ISNA(VLOOKUP(CONCATENATE($C41,V$38," ",$D$39),données!$L$3:$M$47,2,0)),"",VLOOKUP(CONCATENATE($C41,V$38," ",$D$39),données!$L$3:$M$47,2,0)))))</f>
        <v/>
      </c>
      <c r="W41" s="31" t="str">
        <f>IF(OR(W$6="2f",W$6=3,W$6=4),"",IF(OR(SUMIF($C$15:$C$36,$C41,W$15:W$36)=0,W$13&gt;0),"",IF(W$38=0,"zone géo ?",SUMIF($C$15:$C$36,$C41,W$15:W$36)*IF(ISNA(VLOOKUP(CONCATENATE($C41,W$38," ",$D$39),données!$L$3:$M$47,2,0)),"",VLOOKUP(CONCATENATE($C41,W$38," ",$D$39),données!$L$3:$M$47,2,0)))))</f>
        <v/>
      </c>
      <c r="X41" s="31" t="str">
        <f>IF(OR(X$6="2f",X$6=3,X$6=4),"",IF(OR(SUMIF($C$15:$C$36,$C41,X$15:X$36)=0,X$13&gt;0),"",IF(X$38=0,"zone géo ?",SUMIF($C$15:$C$36,$C41,X$15:X$36)*IF(ISNA(VLOOKUP(CONCATENATE($C41,X$38," ",$D$39),données!$L$3:$M$47,2,0)),"",VLOOKUP(CONCATENATE($C41,X$38," ",$D$39),données!$L$3:$M$47,2,0)))))</f>
        <v/>
      </c>
      <c r="Y41" s="31" t="str">
        <f>IF(OR(Y$6="2f",Y$6=3,Y$6=4),"",IF(OR(SUMIF($C$15:$C$36,$C41,Y$15:Y$36)=0,Y$13&gt;0),"",IF(Y$38=0,"zone géo ?",SUMIF($C$15:$C$36,$C41,Y$15:Y$36)*IF(ISNA(VLOOKUP(CONCATENATE($C41,Y$38," ",$D$39),données!$L$3:$M$47,2,0)),"",VLOOKUP(CONCATENATE($C41,Y$38," ",$D$39),données!$L$3:$M$47,2,0)))))</f>
        <v/>
      </c>
      <c r="Z41" s="31" t="str">
        <f>IF(OR(Z$6="2f",Z$6=3,Z$6=4),"",IF(OR(SUMIF($C$15:$C$36,$C41,Z$15:Z$36)=0,Z$13&gt;0),"",IF(Z$38=0,"zone géo ?",SUMIF($C$15:$C$36,$C41,Z$15:Z$36)*IF(ISNA(VLOOKUP(CONCATENATE($C41,Z$38," ",$D$39),données!$L$3:$M$47,2,0)),"",VLOOKUP(CONCATENATE($C41,Z$38," ",$D$39),données!$L$3:$M$47,2,0)))))</f>
        <v/>
      </c>
      <c r="AA41" s="266">
        <f t="shared" ref="AA41:AA47" si="31">SUM(D41:Z41)</f>
        <v>0</v>
      </c>
      <c r="AB41" s="231"/>
      <c r="AC41" s="319"/>
      <c r="AD41" s="232"/>
    </row>
    <row r="42" spans="1:30">
      <c r="A42" s="496"/>
      <c r="B42" s="606"/>
      <c r="C42" s="30" t="s">
        <v>37</v>
      </c>
      <c r="D42" s="31" t="str">
        <f>IF(OR(D$6="2f",D$6=3,D$6=4),"",IF(OR(SUMIF($C$15:$C$36,$C42,D$15:D$36)=0,D$13&gt;0),"",IF(D$38=0,"zone géo ?",SUMIF($C$15:$C$36,$C42,D$15:D$36)*IF(ISNA(VLOOKUP(CONCATENATE($C42,D$38," ",$D$39),données!$L$3:$M$47,2,0)),"",VLOOKUP(CONCATENATE($C42,D$38," ",$D$39),données!$L$3:$M$47,2,0)))))</f>
        <v/>
      </c>
      <c r="E42" s="31" t="str">
        <f>IF(OR(E$6="2f",E$6=3,E$6=4),"",IF(OR(SUMIF($C$15:$C$36,$C42,E$15:E$36)=0,E$13&gt;0),"",IF(E$38=0,"zone géo ?",SUMIF($C$15:$C$36,$C42,E$15:E$36)*IF(ISNA(VLOOKUP(CONCATENATE($C42,E$38," ",$D$39),données!$L$3:$M$47,2,0)),"",VLOOKUP(CONCATENATE($C42,E$38," ",$D$39),données!$L$3:$M$47,2,0)))))</f>
        <v/>
      </c>
      <c r="F42" s="31" t="str">
        <f>IF(OR(F$6="2f",F$6=3,F$6=4),"",IF(OR(SUMIF($C$15:$C$36,$C42,F$15:F$36)=0,F$13&gt;0),"",IF(F$38=0,"zone géo ?",SUMIF($C$15:$C$36,$C42,F$15:F$36)*IF(ISNA(VLOOKUP(CONCATENATE($C42,F$38," ",$D$39),données!$L$3:$M$47,2,0)),"",VLOOKUP(CONCATENATE($C42,F$38," ",$D$39),données!$L$3:$M$47,2,0)))))</f>
        <v/>
      </c>
      <c r="G42" s="31" t="str">
        <f>IF(OR(G$6="2f",G$6=3,G$6=4),"",IF(OR(SUMIF($C$15:$C$36,$C42,G$15:G$36)=0,G$13&gt;0),"",IF(G$38=0,"zone géo ?",SUMIF($C$15:$C$36,$C42,G$15:G$36)*IF(ISNA(VLOOKUP(CONCATENATE($C42,G$38," ",$D$39),données!$L$3:$M$47,2,0)),"",VLOOKUP(CONCATENATE($C42,G$38," ",$D$39),données!$L$3:$M$47,2,0)))))</f>
        <v/>
      </c>
      <c r="H42" s="31" t="str">
        <f>IF(OR(H$6="2f",H$6=3,H$6=4),"",IF(OR(SUMIF($C$15:$C$36,$C42,H$15:H$36)=0,H$13&gt;0),"",IF(H$38=0,"zone géo ?",SUMIF($C$15:$C$36,$C42,H$15:H$36)*IF(ISNA(VLOOKUP(CONCATENATE($C42,H$38," ",$D$39),données!$L$3:$M$47,2,0)),"",VLOOKUP(CONCATENATE($C42,H$38," ",$D$39),données!$L$3:$M$47,2,0)))))</f>
        <v/>
      </c>
      <c r="I42" s="31" t="str">
        <f>IF(OR(I$6="2f",I$6=3,I$6=4),"",IF(OR(SUMIF($C$15:$C$36,$C42,I$15:I$36)=0,I$13&gt;0),"",IF(I$38=0,"zone géo ?",SUMIF($C$15:$C$36,$C42,I$15:I$36)*IF(ISNA(VLOOKUP(CONCATENATE($C42,I$38," ",$D$39),données!$L$3:$M$47,2,0)),"",VLOOKUP(CONCATENATE($C42,I$38," ",$D$39),données!$L$3:$M$47,2,0)))))</f>
        <v/>
      </c>
      <c r="J42" s="31" t="str">
        <f>IF(OR(J$6="2f",J$6=3,J$6=4),"",IF(OR(SUMIF($C$15:$C$36,$C42,J$15:J$36)=0,J$13&gt;0),"",IF(J$38=0,"zone géo ?",SUMIF($C$15:$C$36,$C42,J$15:J$36)*IF(ISNA(VLOOKUP(CONCATENATE($C42,J$38," ",$D$39),données!$L$3:$M$47,2,0)),"",VLOOKUP(CONCATENATE($C42,J$38," ",$D$39),données!$L$3:$M$47,2,0)))))</f>
        <v/>
      </c>
      <c r="K42" s="31" t="str">
        <f>IF(OR(K$6="2f",K$6=3,K$6=4),"",IF(OR(SUMIF($C$15:$C$36,$C42,K$15:K$36)=0,K$13&gt;0),"",IF(K$38=0,"zone géo ?",SUMIF($C$15:$C$36,$C42,K$15:K$36)*IF(ISNA(VLOOKUP(CONCATENATE($C42,K$38," ",$D$39),données!$L$3:$M$47,2,0)),"",VLOOKUP(CONCATENATE($C42,K$38," ",$D$39),données!$L$3:$M$47,2,0)))))</f>
        <v/>
      </c>
      <c r="L42" s="31" t="str">
        <f>IF(OR(L$6="2f",L$6=3,L$6=4),"",IF(OR(SUMIF($C$15:$C$36,$C42,L$15:L$36)=0,L$13&gt;0),"",IF(L$38=0,"zone géo ?",SUMIF($C$15:$C$36,$C42,L$15:L$36)*IF(ISNA(VLOOKUP(CONCATENATE($C42,L$38," ",$D$39),données!$L$3:$M$47,2,0)),"",VLOOKUP(CONCATENATE($C42,L$38," ",$D$39),données!$L$3:$M$47,2,0)))))</f>
        <v/>
      </c>
      <c r="M42" s="31" t="str">
        <f>IF(OR(M$6="2f",M$6=3,M$6=4),"",IF(OR(SUMIF($C$15:$C$36,$C42,M$15:M$36)=0,M$13&gt;0),"",IF(M$38=0,"zone géo ?",SUMIF($C$15:$C$36,$C42,M$15:M$36)*IF(ISNA(VLOOKUP(CONCATENATE($C42,M$38," ",$D$39),données!$L$3:$M$47,2,0)),"",VLOOKUP(CONCATENATE($C42,M$38," ",$D$39),données!$L$3:$M$47,2,0)))))</f>
        <v/>
      </c>
      <c r="N42" s="31" t="str">
        <f>IF(OR(N$6="2f",N$6=3,N$6=4),"",IF(OR(SUMIF($C$15:$C$36,$C42,N$15:N$36)=0,N$13&gt;0),"",IF(N$38=0,"zone géo ?",SUMIF($C$15:$C$36,$C42,N$15:N$36)*IF(ISNA(VLOOKUP(CONCATENATE($C42,N$38," ",$D$39),données!$L$3:$M$47,2,0)),"",VLOOKUP(CONCATENATE($C42,N$38," ",$D$39),données!$L$3:$M$47,2,0)))))</f>
        <v/>
      </c>
      <c r="O42" s="31" t="str">
        <f>IF(OR(O$6="2f",O$6=3,O$6=4),"",IF(OR(SUMIF($C$15:$C$36,$C42,O$15:O$36)=0,O$13&gt;0),"",IF(O$38=0,"zone géo ?",SUMIF($C$15:$C$36,$C42,O$15:O$36)*IF(ISNA(VLOOKUP(CONCATENATE($C42,O$38," ",$D$39),données!$L$3:$M$47,2,0)),"",VLOOKUP(CONCATENATE($C42,O$38," ",$D$39),données!$L$3:$M$47,2,0)))))</f>
        <v/>
      </c>
      <c r="P42" s="31" t="str">
        <f>IF(OR(P$6="2f",P$6=3,P$6=4),"",IF(OR(SUMIF($C$15:$C$36,$C42,P$15:P$36)=0,P$13&gt;0),"",IF(P$38=0,"zone géo ?",SUMIF($C$15:$C$36,$C42,P$15:P$36)*IF(ISNA(VLOOKUP(CONCATENATE($C42,P$38," ",$D$39),données!$L$3:$M$47,2,0)),"",VLOOKUP(CONCATENATE($C42,P$38," ",$D$39),données!$L$3:$M$47,2,0)))))</f>
        <v/>
      </c>
      <c r="Q42" s="31" t="str">
        <f>IF(OR(Q$6="2f",Q$6=3,Q$6=4),"",IF(OR(SUMIF($C$15:$C$36,$C42,Q$15:Q$36)=0,Q$13&gt;0),"",IF(Q$38=0,"zone géo ?",SUMIF($C$15:$C$36,$C42,Q$15:Q$36)*IF(ISNA(VLOOKUP(CONCATENATE($C42,Q$38," ",$D$39),données!$L$3:$M$47,2,0)),"",VLOOKUP(CONCATENATE($C42,Q$38," ",$D$39),données!$L$3:$M$47,2,0)))))</f>
        <v/>
      </c>
      <c r="R42" s="31" t="str">
        <f>IF(OR(R$6="2f",R$6=3,R$6=4),"",IF(OR(SUMIF($C$15:$C$36,$C42,R$15:R$36)=0,R$13&gt;0),"",IF(R$38=0,"zone géo ?",SUMIF($C$15:$C$36,$C42,R$15:R$36)*IF(ISNA(VLOOKUP(CONCATENATE($C42,R$38," ",$D$39),données!$L$3:$M$47,2,0)),"",VLOOKUP(CONCATENATE($C42,R$38," ",$D$39),données!$L$3:$M$47,2,0)))))</f>
        <v/>
      </c>
      <c r="S42" s="31" t="str">
        <f>IF(OR(S$6="2f",S$6=3,S$6=4),"",IF(OR(SUMIF($C$15:$C$36,$C42,S$15:S$36)=0,S$13&gt;0),"",IF(S$38=0,"zone géo ?",SUMIF($C$15:$C$36,$C42,S$15:S$36)*IF(ISNA(VLOOKUP(CONCATENATE($C42,S$38," ",$D$39),données!$L$3:$M$47,2,0)),"",VLOOKUP(CONCATENATE($C42,S$38," ",$D$39),données!$L$3:$M$47,2,0)))))</f>
        <v/>
      </c>
      <c r="T42" s="31" t="str">
        <f>IF(OR(T$6="2f",T$6=3,T$6=4),"",IF(OR(SUMIF($C$15:$C$36,$C42,T$15:T$36)=0,T$13&gt;0),"",IF(T$38=0,"zone géo ?",SUMIF($C$15:$C$36,$C42,T$15:T$36)*IF(ISNA(VLOOKUP(CONCATENATE($C42,T$38," ",$D$39),données!$L$3:$M$47,2,0)),"",VLOOKUP(CONCATENATE($C42,T$38," ",$D$39),données!$L$3:$M$47,2,0)))))</f>
        <v/>
      </c>
      <c r="U42" s="31" t="str">
        <f>IF(OR(U$6="2f",U$6=3,U$6=4),"",IF(OR(SUMIF($C$15:$C$36,$C42,U$15:U$36)=0,U$13&gt;0),"",IF(U$38=0,"zone géo ?",SUMIF($C$15:$C$36,$C42,U$15:U$36)*IF(ISNA(VLOOKUP(CONCATENATE($C42,U$38," ",$D$39),données!$L$3:$M$47,2,0)),"",VLOOKUP(CONCATENATE($C42,U$38," ",$D$39),données!$L$3:$M$47,2,0)))))</f>
        <v/>
      </c>
      <c r="V42" s="31" t="str">
        <f>IF(OR(V$6="2f",V$6=3,V$6=4),"",IF(OR(SUMIF($C$15:$C$36,$C42,V$15:V$36)=0,V$13&gt;0),"",IF(V$38=0,"zone géo ?",SUMIF($C$15:$C$36,$C42,V$15:V$36)*IF(ISNA(VLOOKUP(CONCATENATE($C42,V$38," ",$D$39),données!$L$3:$M$47,2,0)),"",VLOOKUP(CONCATENATE($C42,V$38," ",$D$39),données!$L$3:$M$47,2,0)))))</f>
        <v/>
      </c>
      <c r="W42" s="31" t="str">
        <f>IF(OR(W$6="2f",W$6=3,W$6=4),"",IF(OR(SUMIF($C$15:$C$36,$C42,W$15:W$36)=0,W$13&gt;0),"",IF(W$38=0,"zone géo ?",SUMIF($C$15:$C$36,$C42,W$15:W$36)*IF(ISNA(VLOOKUP(CONCATENATE($C42,W$38," ",$D$39),données!$L$3:$M$47,2,0)),"",VLOOKUP(CONCATENATE($C42,W$38," ",$D$39),données!$L$3:$M$47,2,0)))))</f>
        <v/>
      </c>
      <c r="X42" s="31" t="str">
        <f>IF(OR(X$6="2f",X$6=3,X$6=4),"",IF(OR(SUMIF($C$15:$C$36,$C42,X$15:X$36)=0,X$13&gt;0),"",IF(X$38=0,"zone géo ?",SUMIF($C$15:$C$36,$C42,X$15:X$36)*IF(ISNA(VLOOKUP(CONCATENATE($C42,X$38," ",$D$39),données!$L$3:$M$47,2,0)),"",VLOOKUP(CONCATENATE($C42,X$38," ",$D$39),données!$L$3:$M$47,2,0)))))</f>
        <v/>
      </c>
      <c r="Y42" s="31" t="str">
        <f>IF(OR(Y$6="2f",Y$6=3,Y$6=4),"",IF(OR(SUMIF($C$15:$C$36,$C42,Y$15:Y$36)=0,Y$13&gt;0),"",IF(Y$38=0,"zone géo ?",SUMIF($C$15:$C$36,$C42,Y$15:Y$36)*IF(ISNA(VLOOKUP(CONCATENATE($C42,Y$38," ",$D$39),données!$L$3:$M$47,2,0)),"",VLOOKUP(CONCATENATE($C42,Y$38," ",$D$39),données!$L$3:$M$47,2,0)))))</f>
        <v/>
      </c>
      <c r="Z42" s="31" t="str">
        <f>IF(OR(Z$6="2f",Z$6=3,Z$6=4),"",IF(OR(SUMIF($C$15:$C$36,$C42,Z$15:Z$36)=0,Z$13&gt;0),"",IF(Z$38=0,"zone géo ?",SUMIF($C$15:$C$36,$C42,Z$15:Z$36)*IF(ISNA(VLOOKUP(CONCATENATE($C42,Z$38," ",$D$39),données!$L$3:$M$47,2,0)),"",VLOOKUP(CONCATENATE($C42,Z$38," ",$D$39),données!$L$3:$M$47,2,0)))))</f>
        <v/>
      </c>
      <c r="AA42" s="266">
        <f t="shared" si="31"/>
        <v>0</v>
      </c>
      <c r="AB42" s="231"/>
      <c r="AC42" s="319"/>
      <c r="AD42" s="232"/>
    </row>
    <row r="43" spans="1:30">
      <c r="A43" s="496"/>
      <c r="B43" s="606"/>
      <c r="C43" s="30" t="s">
        <v>39</v>
      </c>
      <c r="D43" s="31" t="str">
        <f>IF(OR(D$6="2f",D$6=3,D$6=4),"",IF(OR(SUMIF($C$15:$C$36,$C43,D$15:D$36)=0,D$13&gt;0),"",IF(D$38=0,"zone géo ?",SUMIF($C$15:$C$36,$C43,D$15:D$36)*IF(ISNA(VLOOKUP(CONCATENATE($C43,D$38," ",$D$39),données!$L$3:$M$47,2,0)),"",VLOOKUP(CONCATENATE($C43,D$38," ",$D$39),données!$L$3:$M$47,2,0)))))</f>
        <v/>
      </c>
      <c r="E43" s="31" t="str">
        <f>IF(OR(E$6="2f",E$6=3,E$6=4),"",IF(OR(SUMIF($C$15:$C$36,$C43,E$15:E$36)=0,E$13&gt;0),"",IF(E$38=0,"zone géo ?",SUMIF($C$15:$C$36,$C43,E$15:E$36)*IF(ISNA(VLOOKUP(CONCATENATE($C43,E$38," ",$D$39),données!$L$3:$M$47,2,0)),"",VLOOKUP(CONCATENATE($C43,E$38," ",$D$39),données!$L$3:$M$47,2,0)))))</f>
        <v/>
      </c>
      <c r="F43" s="31" t="str">
        <f>IF(OR(F$6="2f",F$6=3,F$6=4),"",IF(OR(SUMIF($C$15:$C$36,$C43,F$15:F$36)=0,F$13&gt;0),"",IF(F$38=0,"zone géo ?",SUMIF($C$15:$C$36,$C43,F$15:F$36)*IF(ISNA(VLOOKUP(CONCATENATE($C43,F$38," ",$D$39),données!$L$3:$M$47,2,0)),"",VLOOKUP(CONCATENATE($C43,F$38," ",$D$39),données!$L$3:$M$47,2,0)))))</f>
        <v/>
      </c>
      <c r="G43" s="31" t="str">
        <f>IF(OR(G$6="2f",G$6=3,G$6=4),"",IF(OR(SUMIF($C$15:$C$36,$C43,G$15:G$36)=0,G$13&gt;0),"",IF(G$38=0,"zone géo ?",SUMIF($C$15:$C$36,$C43,G$15:G$36)*IF(ISNA(VLOOKUP(CONCATENATE($C43,G$38," ",$D$39),données!$L$3:$M$47,2,0)),"",VLOOKUP(CONCATENATE($C43,G$38," ",$D$39),données!$L$3:$M$47,2,0)))))</f>
        <v/>
      </c>
      <c r="H43" s="31" t="str">
        <f>IF(OR(H$6="2f",H$6=3,H$6=4),"",IF(OR(SUMIF($C$15:$C$36,$C43,H$15:H$36)=0,H$13&gt;0),"",IF(H$38=0,"zone géo ?",SUMIF($C$15:$C$36,$C43,H$15:H$36)*IF(ISNA(VLOOKUP(CONCATENATE($C43,H$38," ",$D$39),données!$L$3:$M$47,2,0)),"",VLOOKUP(CONCATENATE($C43,H$38," ",$D$39),données!$L$3:$M$47,2,0)))))</f>
        <v/>
      </c>
      <c r="I43" s="31" t="str">
        <f>IF(OR(I$6="2f",I$6=3,I$6=4),"",IF(OR(SUMIF($C$15:$C$36,$C43,I$15:I$36)=0,I$13&gt;0),"",IF(I$38=0,"zone géo ?",SUMIF($C$15:$C$36,$C43,I$15:I$36)*IF(ISNA(VLOOKUP(CONCATENATE($C43,I$38," ",$D$39),données!$L$3:$M$47,2,0)),"",VLOOKUP(CONCATENATE($C43,I$38," ",$D$39),données!$L$3:$M$47,2,0)))))</f>
        <v/>
      </c>
      <c r="J43" s="31" t="str">
        <f>IF(OR(J$6="2f",J$6=3,J$6=4),"",IF(OR(SUMIF($C$15:$C$36,$C43,J$15:J$36)=0,J$13&gt;0),"",IF(J$38=0,"zone géo ?",SUMIF($C$15:$C$36,$C43,J$15:J$36)*IF(ISNA(VLOOKUP(CONCATENATE($C43,J$38," ",$D$39),données!$L$3:$M$47,2,0)),"",VLOOKUP(CONCATENATE($C43,J$38," ",$D$39),données!$L$3:$M$47,2,0)))))</f>
        <v/>
      </c>
      <c r="K43" s="31" t="str">
        <f>IF(OR(K$6="2f",K$6=3,K$6=4),"",IF(OR(SUMIF($C$15:$C$36,$C43,K$15:K$36)=0,K$13&gt;0),"",IF(K$38=0,"zone géo ?",SUMIF($C$15:$C$36,$C43,K$15:K$36)*IF(ISNA(VLOOKUP(CONCATENATE($C43,K$38," ",$D$39),données!$L$3:$M$47,2,0)),"",VLOOKUP(CONCATENATE($C43,K$38," ",$D$39),données!$L$3:$M$47,2,0)))))</f>
        <v/>
      </c>
      <c r="L43" s="31" t="str">
        <f>IF(OR(L$6="2f",L$6=3,L$6=4),"",IF(OR(SUMIF($C$15:$C$36,$C43,L$15:L$36)=0,L$13&gt;0),"",IF(L$38=0,"zone géo ?",SUMIF($C$15:$C$36,$C43,L$15:L$36)*IF(ISNA(VLOOKUP(CONCATENATE($C43,L$38," ",$D$39),données!$L$3:$M$47,2,0)),"",VLOOKUP(CONCATENATE($C43,L$38," ",$D$39),données!$L$3:$M$47,2,0)))))</f>
        <v/>
      </c>
      <c r="M43" s="31" t="str">
        <f>IF(OR(M$6="2f",M$6=3,M$6=4),"",IF(OR(SUMIF($C$15:$C$36,$C43,M$15:M$36)=0,M$13&gt;0),"",IF(M$38=0,"zone géo ?",SUMIF($C$15:$C$36,$C43,M$15:M$36)*IF(ISNA(VLOOKUP(CONCATENATE($C43,M$38," ",$D$39),données!$L$3:$M$47,2,0)),"",VLOOKUP(CONCATENATE($C43,M$38," ",$D$39),données!$L$3:$M$47,2,0)))))</f>
        <v/>
      </c>
      <c r="N43" s="31" t="str">
        <f>IF(OR(N$6="2f",N$6=3,N$6=4),"",IF(OR(SUMIF($C$15:$C$36,$C43,N$15:N$36)=0,N$13&gt;0),"",IF(N$38=0,"zone géo ?",SUMIF($C$15:$C$36,$C43,N$15:N$36)*IF(ISNA(VLOOKUP(CONCATENATE($C43,N$38," ",$D$39),données!$L$3:$M$47,2,0)),"",VLOOKUP(CONCATENATE($C43,N$38," ",$D$39),données!$L$3:$M$47,2,0)))))</f>
        <v/>
      </c>
      <c r="O43" s="31" t="str">
        <f>IF(OR(O$6="2f",O$6=3,O$6=4),"",IF(OR(SUMIF($C$15:$C$36,$C43,O$15:O$36)=0,O$13&gt;0),"",IF(O$38=0,"zone géo ?",SUMIF($C$15:$C$36,$C43,O$15:O$36)*IF(ISNA(VLOOKUP(CONCATENATE($C43,O$38," ",$D$39),données!$L$3:$M$47,2,0)),"",VLOOKUP(CONCATENATE($C43,O$38," ",$D$39),données!$L$3:$M$47,2,0)))))</f>
        <v/>
      </c>
      <c r="P43" s="31" t="str">
        <f>IF(OR(P$6="2f",P$6=3,P$6=4),"",IF(OR(SUMIF($C$15:$C$36,$C43,P$15:P$36)=0,P$13&gt;0),"",IF(P$38=0,"zone géo ?",SUMIF($C$15:$C$36,$C43,P$15:P$36)*IF(ISNA(VLOOKUP(CONCATENATE($C43,P$38," ",$D$39),données!$L$3:$M$47,2,0)),"",VLOOKUP(CONCATENATE($C43,P$38," ",$D$39),données!$L$3:$M$47,2,0)))))</f>
        <v/>
      </c>
      <c r="Q43" s="31" t="str">
        <f>IF(OR(Q$6="2f",Q$6=3,Q$6=4),"",IF(OR(SUMIF($C$15:$C$36,$C43,Q$15:Q$36)=0,Q$13&gt;0),"",IF(Q$38=0,"zone géo ?",SUMIF($C$15:$C$36,$C43,Q$15:Q$36)*IF(ISNA(VLOOKUP(CONCATENATE($C43,Q$38," ",$D$39),données!$L$3:$M$47,2,0)),"",VLOOKUP(CONCATENATE($C43,Q$38," ",$D$39),données!$L$3:$M$47,2,0)))))</f>
        <v/>
      </c>
      <c r="R43" s="31" t="str">
        <f>IF(OR(R$6="2f",R$6=3,R$6=4),"",IF(OR(SUMIF($C$15:$C$36,$C43,R$15:R$36)=0,R$13&gt;0),"",IF(R$38=0,"zone géo ?",SUMIF($C$15:$C$36,$C43,R$15:R$36)*IF(ISNA(VLOOKUP(CONCATENATE($C43,R$38," ",$D$39),données!$L$3:$M$47,2,0)),"",VLOOKUP(CONCATENATE($C43,R$38," ",$D$39),données!$L$3:$M$47,2,0)))))</f>
        <v/>
      </c>
      <c r="S43" s="31" t="str">
        <f>IF(OR(S$6="2f",S$6=3,S$6=4),"",IF(OR(SUMIF($C$15:$C$36,$C43,S$15:S$36)=0,S$13&gt;0),"",IF(S$38=0,"zone géo ?",SUMIF($C$15:$C$36,$C43,S$15:S$36)*IF(ISNA(VLOOKUP(CONCATENATE($C43,S$38," ",$D$39),données!$L$3:$M$47,2,0)),"",VLOOKUP(CONCATENATE($C43,S$38," ",$D$39),données!$L$3:$M$47,2,0)))))</f>
        <v/>
      </c>
      <c r="T43" s="31" t="str">
        <f>IF(OR(T$6="2f",T$6=3,T$6=4),"",IF(OR(SUMIF($C$15:$C$36,$C43,T$15:T$36)=0,T$13&gt;0),"",IF(T$38=0,"zone géo ?",SUMIF($C$15:$C$36,$C43,T$15:T$36)*IF(ISNA(VLOOKUP(CONCATENATE($C43,T$38," ",$D$39),données!$L$3:$M$47,2,0)),"",VLOOKUP(CONCATENATE($C43,T$38," ",$D$39),données!$L$3:$M$47,2,0)))))</f>
        <v/>
      </c>
      <c r="U43" s="31" t="str">
        <f>IF(OR(U$6="2f",U$6=3,U$6=4),"",IF(OR(SUMIF($C$15:$C$36,$C43,U$15:U$36)=0,U$13&gt;0),"",IF(U$38=0,"zone géo ?",SUMIF($C$15:$C$36,$C43,U$15:U$36)*IF(ISNA(VLOOKUP(CONCATENATE($C43,U$38," ",$D$39),données!$L$3:$M$47,2,0)),"",VLOOKUP(CONCATENATE($C43,U$38," ",$D$39),données!$L$3:$M$47,2,0)))))</f>
        <v/>
      </c>
      <c r="V43" s="31" t="str">
        <f>IF(OR(V$6="2f",V$6=3,V$6=4),"",IF(OR(SUMIF($C$15:$C$36,$C43,V$15:V$36)=0,V$13&gt;0),"",IF(V$38=0,"zone géo ?",SUMIF($C$15:$C$36,$C43,V$15:V$36)*IF(ISNA(VLOOKUP(CONCATENATE($C43,V$38," ",$D$39),données!$L$3:$M$47,2,0)),"",VLOOKUP(CONCATENATE($C43,V$38," ",$D$39),données!$L$3:$M$47,2,0)))))</f>
        <v/>
      </c>
      <c r="W43" s="31" t="str">
        <f>IF(OR(W$6="2f",W$6=3,W$6=4),"",IF(OR(SUMIF($C$15:$C$36,$C43,W$15:W$36)=0,W$13&gt;0),"",IF(W$38=0,"zone géo ?",SUMIF($C$15:$C$36,$C43,W$15:W$36)*IF(ISNA(VLOOKUP(CONCATENATE($C43,W$38," ",$D$39),données!$L$3:$M$47,2,0)),"",VLOOKUP(CONCATENATE($C43,W$38," ",$D$39),données!$L$3:$M$47,2,0)))))</f>
        <v/>
      </c>
      <c r="X43" s="31" t="str">
        <f>IF(OR(X$6="2f",X$6=3,X$6=4),"",IF(OR(SUMIF($C$15:$C$36,$C43,X$15:X$36)=0,X$13&gt;0),"",IF(X$38=0,"zone géo ?",SUMIF($C$15:$C$36,$C43,X$15:X$36)*IF(ISNA(VLOOKUP(CONCATENATE($C43,X$38," ",$D$39),données!$L$3:$M$47,2,0)),"",VLOOKUP(CONCATENATE($C43,X$38," ",$D$39),données!$L$3:$M$47,2,0)))))</f>
        <v/>
      </c>
      <c r="Y43" s="31" t="str">
        <f>IF(OR(Y$6="2f",Y$6=3,Y$6=4),"",IF(OR(SUMIF($C$15:$C$36,$C43,Y$15:Y$36)=0,Y$13&gt;0),"",IF(Y$38=0,"zone géo ?",SUMIF($C$15:$C$36,$C43,Y$15:Y$36)*IF(ISNA(VLOOKUP(CONCATENATE($C43,Y$38," ",$D$39),données!$L$3:$M$47,2,0)),"",VLOOKUP(CONCATENATE($C43,Y$38," ",$D$39),données!$L$3:$M$47,2,0)))))</f>
        <v/>
      </c>
      <c r="Z43" s="31" t="str">
        <f>IF(OR(Z$6="2f",Z$6=3,Z$6=4),"",IF(OR(SUMIF($C$15:$C$36,$C43,Z$15:Z$36)=0,Z$13&gt;0),"",IF(Z$38=0,"zone géo ?",SUMIF($C$15:$C$36,$C43,Z$15:Z$36)*IF(ISNA(VLOOKUP(CONCATENATE($C43,Z$38," ",$D$39),données!$L$3:$M$47,2,0)),"",VLOOKUP(CONCATENATE($C43,Z$38," ",$D$39),données!$L$3:$M$47,2,0)))))</f>
        <v/>
      </c>
      <c r="AA43" s="266">
        <f t="shared" si="31"/>
        <v>0</v>
      </c>
      <c r="AB43" s="231"/>
      <c r="AC43" s="319"/>
      <c r="AD43" s="232"/>
    </row>
    <row r="44" spans="1:30">
      <c r="A44" s="496"/>
      <c r="B44" s="606"/>
      <c r="C44" s="30" t="s">
        <v>41</v>
      </c>
      <c r="D44" s="31" t="str">
        <f>IF(OR(D$6="2f",D$6=3,D$6=4),"",IF(OR(SUMIF($C$15:$C$36,$C44,D$15:D$36)=0,D$13&gt;0),"",IF(D$38=0,"zone géo ?",SUMIF($C$15:$C$36,$C44,D$15:D$36)*IF(ISNA(VLOOKUP(CONCATENATE($C44,D$38," ",$D$39),données!$L$3:$M$47,2,0)),"",VLOOKUP(CONCATENATE($C44,D$38," ",$D$39),données!$L$3:$M$47,2,0)))))</f>
        <v/>
      </c>
      <c r="E44" s="31" t="str">
        <f>IF(OR(E$6="2f",E$6=3,E$6=4),"",IF(OR(SUMIF($C$15:$C$36,$C44,E$15:E$36)=0,E$13&gt;0),"",IF(E$38=0,"zone géo ?",SUMIF($C$15:$C$36,$C44,E$15:E$36)*IF(ISNA(VLOOKUP(CONCATENATE($C44,E$38," ",$D$39),données!$L$3:$M$47,2,0)),"",VLOOKUP(CONCATENATE($C44,E$38," ",$D$39),données!$L$3:$M$47,2,0)))))</f>
        <v/>
      </c>
      <c r="F44" s="31" t="str">
        <f>IF(OR(F$6="2f",F$6=3,F$6=4),"",IF(OR(SUMIF($C$15:$C$36,$C44,F$15:F$36)=0,F$13&gt;0),"",IF(F$38=0,"zone géo ?",SUMIF($C$15:$C$36,$C44,F$15:F$36)*IF(ISNA(VLOOKUP(CONCATENATE($C44,F$38," ",$D$39),données!$L$3:$M$47,2,0)),"",VLOOKUP(CONCATENATE($C44,F$38," ",$D$39),données!$L$3:$M$47,2,0)))))</f>
        <v/>
      </c>
      <c r="G44" s="31" t="str">
        <f>IF(OR(G$6="2f",G$6=3,G$6=4),"",IF(OR(SUMIF($C$15:$C$36,$C44,G$15:G$36)=0,G$13&gt;0),"",IF(G$38=0,"zone géo ?",SUMIF($C$15:$C$36,$C44,G$15:G$36)*IF(ISNA(VLOOKUP(CONCATENATE($C44,G$38," ",$D$39),données!$L$3:$M$47,2,0)),"",VLOOKUP(CONCATENATE($C44,G$38," ",$D$39),données!$L$3:$M$47,2,0)))))</f>
        <v/>
      </c>
      <c r="H44" s="31" t="str">
        <f>IF(OR(H$6="2f",H$6=3,H$6=4),"",IF(OR(SUMIF($C$15:$C$36,$C44,H$15:H$36)=0,H$13&gt;0),"",IF(H$38=0,"zone géo ?",SUMIF($C$15:$C$36,$C44,H$15:H$36)*IF(ISNA(VLOOKUP(CONCATENATE($C44,H$38," ",$D$39),données!$L$3:$M$47,2,0)),"",VLOOKUP(CONCATENATE($C44,H$38," ",$D$39),données!$L$3:$M$47,2,0)))))</f>
        <v/>
      </c>
      <c r="I44" s="31" t="str">
        <f>IF(OR(I$6="2f",I$6=3,I$6=4),"",IF(OR(SUMIF($C$15:$C$36,$C44,I$15:I$36)=0,I$13&gt;0),"",IF(I$38=0,"zone géo ?",SUMIF($C$15:$C$36,$C44,I$15:I$36)*IF(ISNA(VLOOKUP(CONCATENATE($C44,I$38," ",$D$39),données!$L$3:$M$47,2,0)),"",VLOOKUP(CONCATENATE($C44,I$38," ",$D$39),données!$L$3:$M$47,2,0)))))</f>
        <v/>
      </c>
      <c r="J44" s="31" t="str">
        <f>IF(OR(J$6="2f",J$6=3,J$6=4),"",IF(OR(SUMIF($C$15:$C$36,$C44,J$15:J$36)=0,J$13&gt;0),"",IF(J$38=0,"zone géo ?",SUMIF($C$15:$C$36,$C44,J$15:J$36)*IF(ISNA(VLOOKUP(CONCATENATE($C44,J$38," ",$D$39),données!$L$3:$M$47,2,0)),"",VLOOKUP(CONCATENATE($C44,J$38," ",$D$39),données!$L$3:$M$47,2,0)))))</f>
        <v/>
      </c>
      <c r="K44" s="31" t="str">
        <f>IF(OR(K$6="2f",K$6=3,K$6=4),"",IF(OR(SUMIF($C$15:$C$36,$C44,K$15:K$36)=0,K$13&gt;0),"",IF(K$38=0,"zone géo ?",SUMIF($C$15:$C$36,$C44,K$15:K$36)*IF(ISNA(VLOOKUP(CONCATENATE($C44,K$38," ",$D$39),données!$L$3:$M$47,2,0)),"",VLOOKUP(CONCATENATE($C44,K$38," ",$D$39),données!$L$3:$M$47,2,0)))))</f>
        <v/>
      </c>
      <c r="L44" s="31" t="str">
        <f>IF(OR(L$6="2f",L$6=3,L$6=4),"",IF(OR(SUMIF($C$15:$C$36,$C44,L$15:L$36)=0,L$13&gt;0),"",IF(L$38=0,"zone géo ?",SUMIF($C$15:$C$36,$C44,L$15:L$36)*IF(ISNA(VLOOKUP(CONCATENATE($C44,L$38," ",$D$39),données!$L$3:$M$47,2,0)),"",VLOOKUP(CONCATENATE($C44,L$38," ",$D$39),données!$L$3:$M$47,2,0)))))</f>
        <v/>
      </c>
      <c r="M44" s="31" t="str">
        <f>IF(OR(M$6="2f",M$6=3,M$6=4),"",IF(OR(SUMIF($C$15:$C$36,$C44,M$15:M$36)=0,M$13&gt;0),"",IF(M$38=0,"zone géo ?",SUMIF($C$15:$C$36,$C44,M$15:M$36)*IF(ISNA(VLOOKUP(CONCATENATE($C44,M$38," ",$D$39),données!$L$3:$M$47,2,0)),"",VLOOKUP(CONCATENATE($C44,M$38," ",$D$39),données!$L$3:$M$47,2,0)))))</f>
        <v/>
      </c>
      <c r="N44" s="31" t="str">
        <f>IF(OR(N$6="2f",N$6=3,N$6=4),"",IF(OR(SUMIF($C$15:$C$36,$C44,N$15:N$36)=0,N$13&gt;0),"",IF(N$38=0,"zone géo ?",SUMIF($C$15:$C$36,$C44,N$15:N$36)*IF(ISNA(VLOOKUP(CONCATENATE($C44,N$38," ",$D$39),données!$L$3:$M$47,2,0)),"",VLOOKUP(CONCATENATE($C44,N$38," ",$D$39),données!$L$3:$M$47,2,0)))))</f>
        <v/>
      </c>
      <c r="O44" s="31" t="str">
        <f>IF(OR(O$6="2f",O$6=3,O$6=4),"",IF(OR(SUMIF($C$15:$C$36,$C44,O$15:O$36)=0,O$13&gt;0),"",IF(O$38=0,"zone géo ?",SUMIF($C$15:$C$36,$C44,O$15:O$36)*IF(ISNA(VLOOKUP(CONCATENATE($C44,O$38," ",$D$39),données!$L$3:$M$47,2,0)),"",VLOOKUP(CONCATENATE($C44,O$38," ",$D$39),données!$L$3:$M$47,2,0)))))</f>
        <v/>
      </c>
      <c r="P44" s="31" t="str">
        <f>IF(OR(P$6="2f",P$6=3,P$6=4),"",IF(OR(SUMIF($C$15:$C$36,$C44,P$15:P$36)=0,P$13&gt;0),"",IF(P$38=0,"zone géo ?",SUMIF($C$15:$C$36,$C44,P$15:P$36)*IF(ISNA(VLOOKUP(CONCATENATE($C44,P$38," ",$D$39),données!$L$3:$M$47,2,0)),"",VLOOKUP(CONCATENATE($C44,P$38," ",$D$39),données!$L$3:$M$47,2,0)))))</f>
        <v/>
      </c>
      <c r="Q44" s="31" t="str">
        <f>IF(OR(Q$6="2f",Q$6=3,Q$6=4),"",IF(OR(SUMIF($C$15:$C$36,$C44,Q$15:Q$36)=0,Q$13&gt;0),"",IF(Q$38=0,"zone géo ?",SUMIF($C$15:$C$36,$C44,Q$15:Q$36)*IF(ISNA(VLOOKUP(CONCATENATE($C44,Q$38," ",$D$39),données!$L$3:$M$47,2,0)),"",VLOOKUP(CONCATENATE($C44,Q$38," ",$D$39),données!$L$3:$M$47,2,0)))))</f>
        <v/>
      </c>
      <c r="R44" s="31" t="str">
        <f>IF(OR(R$6="2f",R$6=3,R$6=4),"",IF(OR(SUMIF($C$15:$C$36,$C44,R$15:R$36)=0,R$13&gt;0),"",IF(R$38=0,"zone géo ?",SUMIF($C$15:$C$36,$C44,R$15:R$36)*IF(ISNA(VLOOKUP(CONCATENATE($C44,R$38," ",$D$39),données!$L$3:$M$47,2,0)),"",VLOOKUP(CONCATENATE($C44,R$38," ",$D$39),données!$L$3:$M$47,2,0)))))</f>
        <v/>
      </c>
      <c r="S44" s="31" t="str">
        <f>IF(OR(S$6="2f",S$6=3,S$6=4),"",IF(OR(SUMIF($C$15:$C$36,$C44,S$15:S$36)=0,S$13&gt;0),"",IF(S$38=0,"zone géo ?",SUMIF($C$15:$C$36,$C44,S$15:S$36)*IF(ISNA(VLOOKUP(CONCATENATE($C44,S$38," ",$D$39),données!$L$3:$M$47,2,0)),"",VLOOKUP(CONCATENATE($C44,S$38," ",$D$39),données!$L$3:$M$47,2,0)))))</f>
        <v/>
      </c>
      <c r="T44" s="31" t="str">
        <f>IF(OR(T$6="2f",T$6=3,T$6=4),"",IF(OR(SUMIF($C$15:$C$36,$C44,T$15:T$36)=0,T$13&gt;0),"",IF(T$38=0,"zone géo ?",SUMIF($C$15:$C$36,$C44,T$15:T$36)*IF(ISNA(VLOOKUP(CONCATENATE($C44,T$38," ",$D$39),données!$L$3:$M$47,2,0)),"",VLOOKUP(CONCATENATE($C44,T$38," ",$D$39),données!$L$3:$M$47,2,0)))))</f>
        <v/>
      </c>
      <c r="U44" s="31" t="str">
        <f>IF(OR(U$6="2f",U$6=3,U$6=4),"",IF(OR(SUMIF($C$15:$C$36,$C44,U$15:U$36)=0,U$13&gt;0),"",IF(U$38=0,"zone géo ?",SUMIF($C$15:$C$36,$C44,U$15:U$36)*IF(ISNA(VLOOKUP(CONCATENATE($C44,U$38," ",$D$39),données!$L$3:$M$47,2,0)),"",VLOOKUP(CONCATENATE($C44,U$38," ",$D$39),données!$L$3:$M$47,2,0)))))</f>
        <v/>
      </c>
      <c r="V44" s="31" t="str">
        <f>IF(OR(V$6="2f",V$6=3,V$6=4),"",IF(OR(SUMIF($C$15:$C$36,$C44,V$15:V$36)=0,V$13&gt;0),"",IF(V$38=0,"zone géo ?",SUMIF($C$15:$C$36,$C44,V$15:V$36)*IF(ISNA(VLOOKUP(CONCATENATE($C44,V$38," ",$D$39),données!$L$3:$M$47,2,0)),"",VLOOKUP(CONCATENATE($C44,V$38," ",$D$39),données!$L$3:$M$47,2,0)))))</f>
        <v/>
      </c>
      <c r="W44" s="31" t="str">
        <f>IF(OR(W$6="2f",W$6=3,W$6=4),"",IF(OR(SUMIF($C$15:$C$36,$C44,W$15:W$36)=0,W$13&gt;0),"",IF(W$38=0,"zone géo ?",SUMIF($C$15:$C$36,$C44,W$15:W$36)*IF(ISNA(VLOOKUP(CONCATENATE($C44,W$38," ",$D$39),données!$L$3:$M$47,2,0)),"",VLOOKUP(CONCATENATE($C44,W$38," ",$D$39),données!$L$3:$M$47,2,0)))))</f>
        <v/>
      </c>
      <c r="X44" s="31" t="str">
        <f>IF(OR(X$6="2f",X$6=3,X$6=4),"",IF(OR(SUMIF($C$15:$C$36,$C44,X$15:X$36)=0,X$13&gt;0),"",IF(X$38=0,"zone géo ?",SUMIF($C$15:$C$36,$C44,X$15:X$36)*IF(ISNA(VLOOKUP(CONCATENATE($C44,X$38," ",$D$39),données!$L$3:$M$47,2,0)),"",VLOOKUP(CONCATENATE($C44,X$38," ",$D$39),données!$L$3:$M$47,2,0)))))</f>
        <v/>
      </c>
      <c r="Y44" s="31" t="str">
        <f>IF(OR(Y$6="2f",Y$6=3,Y$6=4),"",IF(OR(SUMIF($C$15:$C$36,$C44,Y$15:Y$36)=0,Y$13&gt;0),"",IF(Y$38=0,"zone géo ?",SUMIF($C$15:$C$36,$C44,Y$15:Y$36)*IF(ISNA(VLOOKUP(CONCATENATE($C44,Y$38," ",$D$39),données!$L$3:$M$47,2,0)),"",VLOOKUP(CONCATENATE($C44,Y$38," ",$D$39),données!$L$3:$M$47,2,0)))))</f>
        <v/>
      </c>
      <c r="Z44" s="31" t="str">
        <f>IF(OR(Z$6="2f",Z$6=3,Z$6=4),"",IF(OR(SUMIF($C$15:$C$36,$C44,Z$15:Z$36)=0,Z$13&gt;0),"",IF(Z$38=0,"zone géo ?",SUMIF($C$15:$C$36,$C44,Z$15:Z$36)*IF(ISNA(VLOOKUP(CONCATENATE($C44,Z$38," ",$D$39),données!$L$3:$M$47,2,0)),"",VLOOKUP(CONCATENATE($C44,Z$38," ",$D$39),données!$L$3:$M$47,2,0)))))</f>
        <v/>
      </c>
      <c r="AA44" s="266">
        <f t="shared" si="31"/>
        <v>0</v>
      </c>
      <c r="AB44" s="231"/>
      <c r="AC44" s="319"/>
      <c r="AD44" s="232"/>
    </row>
    <row r="45" spans="1:30">
      <c r="A45" s="496"/>
      <c r="B45" s="606"/>
      <c r="C45" s="30" t="s">
        <v>43</v>
      </c>
      <c r="D45" s="31" t="str">
        <f>IF(OR(D$6="2f",D$6=3,D$6=4),"",IF(OR(SUMIF($C$15:$C$36,$C45,D$15:D$36)=0,D$13&gt;0),"",IF(D$38=0,"zone géo ?",SUMIF($C$15:$C$36,$C45,D$15:D$36)*IF(ISNA(VLOOKUP(CONCATENATE($C45,D$38," ",$D$39),données!$L$3:$M$47,2,0)),"",VLOOKUP(CONCATENATE($C45,D$38," ",$D$39),données!$L$3:$M$47,2,0)))))</f>
        <v/>
      </c>
      <c r="E45" s="31" t="str">
        <f>IF(OR(E$6="2f",E$6=3,E$6=4),"",IF(OR(SUMIF($C$15:$C$36,$C45,E$15:E$36)=0,E$13&gt;0),"",IF(E$38=0,"zone géo ?",SUMIF($C$15:$C$36,$C45,E$15:E$36)*IF(ISNA(VLOOKUP(CONCATENATE($C45,E$38," ",$D$39),données!$L$3:$M$47,2,0)),"",VLOOKUP(CONCATENATE($C45,E$38," ",$D$39),données!$L$3:$M$47,2,0)))))</f>
        <v/>
      </c>
      <c r="F45" s="31" t="str">
        <f>IF(OR(F$6="2f",F$6=3,F$6=4),"",IF(OR(SUMIF($C$15:$C$36,$C45,F$15:F$36)=0,F$13&gt;0),"",IF(F$38=0,"zone géo ?",SUMIF($C$15:$C$36,$C45,F$15:F$36)*IF(ISNA(VLOOKUP(CONCATENATE($C45,F$38," ",$D$39),données!$L$3:$M$47,2,0)),"",VLOOKUP(CONCATENATE($C45,F$38," ",$D$39),données!$L$3:$M$47,2,0)))))</f>
        <v/>
      </c>
      <c r="G45" s="31" t="str">
        <f>IF(OR(G$6="2f",G$6=3,G$6=4),"",IF(OR(SUMIF($C$15:$C$36,$C45,G$15:G$36)=0,G$13&gt;0),"",IF(G$38=0,"zone géo ?",SUMIF($C$15:$C$36,$C45,G$15:G$36)*IF(ISNA(VLOOKUP(CONCATENATE($C45,G$38," ",$D$39),données!$L$3:$M$47,2,0)),"",VLOOKUP(CONCATENATE($C45,G$38," ",$D$39),données!$L$3:$M$47,2,0)))))</f>
        <v/>
      </c>
      <c r="H45" s="31" t="str">
        <f>IF(OR(H$6="2f",H$6=3,H$6=4),"",IF(OR(SUMIF($C$15:$C$36,$C45,H$15:H$36)=0,H$13&gt;0),"",IF(H$38=0,"zone géo ?",SUMIF($C$15:$C$36,$C45,H$15:H$36)*IF(ISNA(VLOOKUP(CONCATENATE($C45,H$38," ",$D$39),données!$L$3:$M$47,2,0)),"",VLOOKUP(CONCATENATE($C45,H$38," ",$D$39),données!$L$3:$M$47,2,0)))))</f>
        <v/>
      </c>
      <c r="I45" s="31" t="str">
        <f>IF(OR(I$6="2f",I$6=3,I$6=4),"",IF(OR(SUMIF($C$15:$C$36,$C45,I$15:I$36)=0,I$13&gt;0),"",IF(I$38=0,"zone géo ?",SUMIF($C$15:$C$36,$C45,I$15:I$36)*IF(ISNA(VLOOKUP(CONCATENATE($C45,I$38," ",$D$39),données!$L$3:$M$47,2,0)),"",VLOOKUP(CONCATENATE($C45,I$38," ",$D$39),données!$L$3:$M$47,2,0)))))</f>
        <v/>
      </c>
      <c r="J45" s="31" t="str">
        <f>IF(OR(J$6="2f",J$6=3,J$6=4),"",IF(OR(SUMIF($C$15:$C$36,$C45,J$15:J$36)=0,J$13&gt;0),"",IF(J$38=0,"zone géo ?",SUMIF($C$15:$C$36,$C45,J$15:J$36)*IF(ISNA(VLOOKUP(CONCATENATE($C45,J$38," ",$D$39),données!$L$3:$M$47,2,0)),"",VLOOKUP(CONCATENATE($C45,J$38," ",$D$39),données!$L$3:$M$47,2,0)))))</f>
        <v/>
      </c>
      <c r="K45" s="31" t="str">
        <f>IF(OR(K$6="2f",K$6=3,K$6=4),"",IF(OR(SUMIF($C$15:$C$36,$C45,K$15:K$36)=0,K$13&gt;0),"",IF(K$38=0,"zone géo ?",SUMIF($C$15:$C$36,$C45,K$15:K$36)*IF(ISNA(VLOOKUP(CONCATENATE($C45,K$38," ",$D$39),données!$L$3:$M$47,2,0)),"",VLOOKUP(CONCATENATE($C45,K$38," ",$D$39),données!$L$3:$M$47,2,0)))))</f>
        <v/>
      </c>
      <c r="L45" s="31" t="str">
        <f>IF(OR(L$6="2f",L$6=3,L$6=4),"",IF(OR(SUMIF($C$15:$C$36,$C45,L$15:L$36)=0,L$13&gt;0),"",IF(L$38=0,"zone géo ?",SUMIF($C$15:$C$36,$C45,L$15:L$36)*IF(ISNA(VLOOKUP(CONCATENATE($C45,L$38," ",$D$39),données!$L$3:$M$47,2,0)),"",VLOOKUP(CONCATENATE($C45,L$38," ",$D$39),données!$L$3:$M$47,2,0)))))</f>
        <v/>
      </c>
      <c r="M45" s="31" t="str">
        <f>IF(OR(M$6="2f",M$6=3,M$6=4),"",IF(OR(SUMIF($C$15:$C$36,$C45,M$15:M$36)=0,M$13&gt;0),"",IF(M$38=0,"zone géo ?",SUMIF($C$15:$C$36,$C45,M$15:M$36)*IF(ISNA(VLOOKUP(CONCATENATE($C45,M$38," ",$D$39),données!$L$3:$M$47,2,0)),"",VLOOKUP(CONCATENATE($C45,M$38," ",$D$39),données!$L$3:$M$47,2,0)))))</f>
        <v/>
      </c>
      <c r="N45" s="31" t="str">
        <f>IF(OR(N$6="2f",N$6=3,N$6=4),"",IF(OR(SUMIF($C$15:$C$36,$C45,N$15:N$36)=0,N$13&gt;0),"",IF(N$38=0,"zone géo ?",SUMIF($C$15:$C$36,$C45,N$15:N$36)*IF(ISNA(VLOOKUP(CONCATENATE($C45,N$38," ",$D$39),données!$L$3:$M$47,2,0)),"",VLOOKUP(CONCATENATE($C45,N$38," ",$D$39),données!$L$3:$M$47,2,0)))))</f>
        <v/>
      </c>
      <c r="O45" s="31" t="str">
        <f>IF(OR(O$6="2f",O$6=3,O$6=4),"",IF(OR(SUMIF($C$15:$C$36,$C45,O$15:O$36)=0,O$13&gt;0),"",IF(O$38=0,"zone géo ?",SUMIF($C$15:$C$36,$C45,O$15:O$36)*IF(ISNA(VLOOKUP(CONCATENATE($C45,O$38," ",$D$39),données!$L$3:$M$47,2,0)),"",VLOOKUP(CONCATENATE($C45,O$38," ",$D$39),données!$L$3:$M$47,2,0)))))</f>
        <v/>
      </c>
      <c r="P45" s="31" t="str">
        <f>IF(OR(P$6="2f",P$6=3,P$6=4),"",IF(OR(SUMIF($C$15:$C$36,$C45,P$15:P$36)=0,P$13&gt;0),"",IF(P$38=0,"zone géo ?",SUMIF($C$15:$C$36,$C45,P$15:P$36)*IF(ISNA(VLOOKUP(CONCATENATE($C45,P$38," ",$D$39),données!$L$3:$M$47,2,0)),"",VLOOKUP(CONCATENATE($C45,P$38," ",$D$39),données!$L$3:$M$47,2,0)))))</f>
        <v/>
      </c>
      <c r="Q45" s="31" t="str">
        <f>IF(OR(Q$6="2f",Q$6=3,Q$6=4),"",IF(OR(SUMIF($C$15:$C$36,$C45,Q$15:Q$36)=0,Q$13&gt;0),"",IF(Q$38=0,"zone géo ?",SUMIF($C$15:$C$36,$C45,Q$15:Q$36)*IF(ISNA(VLOOKUP(CONCATENATE($C45,Q$38," ",$D$39),données!$L$3:$M$47,2,0)),"",VLOOKUP(CONCATENATE($C45,Q$38," ",$D$39),données!$L$3:$M$47,2,0)))))</f>
        <v/>
      </c>
      <c r="R45" s="31" t="str">
        <f>IF(OR(R$6="2f",R$6=3,R$6=4),"",IF(OR(SUMIF($C$15:$C$36,$C45,R$15:R$36)=0,R$13&gt;0),"",IF(R$38=0,"zone géo ?",SUMIF($C$15:$C$36,$C45,R$15:R$36)*IF(ISNA(VLOOKUP(CONCATENATE($C45,R$38," ",$D$39),données!$L$3:$M$47,2,0)),"",VLOOKUP(CONCATENATE($C45,R$38," ",$D$39),données!$L$3:$M$47,2,0)))))</f>
        <v/>
      </c>
      <c r="S45" s="31" t="str">
        <f>IF(OR(S$6="2f",S$6=3,S$6=4),"",IF(OR(SUMIF($C$15:$C$36,$C45,S$15:S$36)=0,S$13&gt;0),"",IF(S$38=0,"zone géo ?",SUMIF($C$15:$C$36,$C45,S$15:S$36)*IF(ISNA(VLOOKUP(CONCATENATE($C45,S$38," ",$D$39),données!$L$3:$M$47,2,0)),"",VLOOKUP(CONCATENATE($C45,S$38," ",$D$39),données!$L$3:$M$47,2,0)))))</f>
        <v/>
      </c>
      <c r="T45" s="31" t="str">
        <f>IF(OR(T$6="2f",T$6=3,T$6=4),"",IF(OR(SUMIF($C$15:$C$36,$C45,T$15:T$36)=0,T$13&gt;0),"",IF(T$38=0,"zone géo ?",SUMIF($C$15:$C$36,$C45,T$15:T$36)*IF(ISNA(VLOOKUP(CONCATENATE($C45,T$38," ",$D$39),données!$L$3:$M$47,2,0)),"",VLOOKUP(CONCATENATE($C45,T$38," ",$D$39),données!$L$3:$M$47,2,0)))))</f>
        <v/>
      </c>
      <c r="U45" s="31" t="str">
        <f>IF(OR(U$6="2f",U$6=3,U$6=4),"",IF(OR(SUMIF($C$15:$C$36,$C45,U$15:U$36)=0,U$13&gt;0),"",IF(U$38=0,"zone géo ?",SUMIF($C$15:$C$36,$C45,U$15:U$36)*IF(ISNA(VLOOKUP(CONCATENATE($C45,U$38," ",$D$39),données!$L$3:$M$47,2,0)),"",VLOOKUP(CONCATENATE($C45,U$38," ",$D$39),données!$L$3:$M$47,2,0)))))</f>
        <v/>
      </c>
      <c r="V45" s="31" t="str">
        <f>IF(OR(V$6="2f",V$6=3,V$6=4),"",IF(OR(SUMIF($C$15:$C$36,$C45,V$15:V$36)=0,V$13&gt;0),"",IF(V$38=0,"zone géo ?",SUMIF($C$15:$C$36,$C45,V$15:V$36)*IF(ISNA(VLOOKUP(CONCATENATE($C45,V$38," ",$D$39),données!$L$3:$M$47,2,0)),"",VLOOKUP(CONCATENATE($C45,V$38," ",$D$39),données!$L$3:$M$47,2,0)))))</f>
        <v/>
      </c>
      <c r="W45" s="31" t="str">
        <f>IF(OR(W$6="2f",W$6=3,W$6=4),"",IF(OR(SUMIF($C$15:$C$36,$C45,W$15:W$36)=0,W$13&gt;0),"",IF(W$38=0,"zone géo ?",SUMIF($C$15:$C$36,$C45,W$15:W$36)*IF(ISNA(VLOOKUP(CONCATENATE($C45,W$38," ",$D$39),données!$L$3:$M$47,2,0)),"",VLOOKUP(CONCATENATE($C45,W$38," ",$D$39),données!$L$3:$M$47,2,0)))))</f>
        <v/>
      </c>
      <c r="X45" s="31" t="str">
        <f>IF(OR(X$6="2f",X$6=3,X$6=4),"",IF(OR(SUMIF($C$15:$C$36,$C45,X$15:X$36)=0,X$13&gt;0),"",IF(X$38=0,"zone géo ?",SUMIF($C$15:$C$36,$C45,X$15:X$36)*IF(ISNA(VLOOKUP(CONCATENATE($C45,X$38," ",$D$39),données!$L$3:$M$47,2,0)),"",VLOOKUP(CONCATENATE($C45,X$38," ",$D$39),données!$L$3:$M$47,2,0)))))</f>
        <v/>
      </c>
      <c r="Y45" s="31" t="str">
        <f>IF(OR(Y$6="2f",Y$6=3,Y$6=4),"",IF(OR(SUMIF($C$15:$C$36,$C45,Y$15:Y$36)=0,Y$13&gt;0),"",IF(Y$38=0,"zone géo ?",SUMIF($C$15:$C$36,$C45,Y$15:Y$36)*IF(ISNA(VLOOKUP(CONCATENATE($C45,Y$38," ",$D$39),données!$L$3:$M$47,2,0)),"",VLOOKUP(CONCATENATE($C45,Y$38," ",$D$39),données!$L$3:$M$47,2,0)))))</f>
        <v/>
      </c>
      <c r="Z45" s="31" t="str">
        <f>IF(OR(Z$6="2f",Z$6=3,Z$6=4),"",IF(OR(SUMIF($C$15:$C$36,$C45,Z$15:Z$36)=0,Z$13&gt;0),"",IF(Z$38=0,"zone géo ?",SUMIF($C$15:$C$36,$C45,Z$15:Z$36)*IF(ISNA(VLOOKUP(CONCATENATE($C45,Z$38," ",$D$39),données!$L$3:$M$47,2,0)),"",VLOOKUP(CONCATENATE($C45,Z$38," ",$D$39),données!$L$3:$M$47,2,0)))))</f>
        <v/>
      </c>
      <c r="AA45" s="266">
        <f t="shared" si="31"/>
        <v>0</v>
      </c>
      <c r="AB45" s="231"/>
      <c r="AC45" s="319"/>
      <c r="AD45" s="232"/>
    </row>
    <row r="46" spans="1:30">
      <c r="A46" s="496"/>
      <c r="B46" s="606"/>
      <c r="C46" s="30" t="s">
        <v>45</v>
      </c>
      <c r="D46" s="31" t="str">
        <f>IF(OR(D$6="2f",D$6=3,D$6=4),"",IF(OR(SUMIF($C$15:$C$36,$C46,D$15:D$36)=0,D$13&gt;0),"",IF(D$38=0,"zone géo ?",SUMIF($C$15:$C$36,$C46,D$15:D$36)*IF(ISNA(VLOOKUP(CONCATENATE($C46,D$38," ",$D$39),données!$L$3:$M$47,2,0)),"",VLOOKUP(CONCATENATE($C46,D$38," ",$D$39),données!$L$3:$M$47,2,0)))))</f>
        <v/>
      </c>
      <c r="E46" s="31" t="str">
        <f>IF(OR(E$6="2f",E$6=3,E$6=4),"",IF(OR(SUMIF($C$15:$C$36,$C46,E$15:E$36)=0,E$13&gt;0),"",IF(E$38=0,"zone géo ?",SUMIF($C$15:$C$36,$C46,E$15:E$36)*IF(ISNA(VLOOKUP(CONCATENATE($C46,E$38," ",$D$39),données!$L$3:$M$47,2,0)),"",VLOOKUP(CONCATENATE($C46,E$38," ",$D$39),données!$L$3:$M$47,2,0)))))</f>
        <v/>
      </c>
      <c r="F46" s="31" t="str">
        <f>IF(OR(F$6="2f",F$6=3,F$6=4),"",IF(OR(SUMIF($C$15:$C$36,$C46,F$15:F$36)=0,F$13&gt;0),"",IF(F$38=0,"zone géo ?",SUMIF($C$15:$C$36,$C46,F$15:F$36)*IF(ISNA(VLOOKUP(CONCATENATE($C46,F$38," ",$D$39),données!$L$3:$M$47,2,0)),"",VLOOKUP(CONCATENATE($C46,F$38," ",$D$39),données!$L$3:$M$47,2,0)))))</f>
        <v/>
      </c>
      <c r="G46" s="31" t="str">
        <f>IF(OR(G$6="2f",G$6=3,G$6=4),"",IF(OR(SUMIF($C$15:$C$36,$C46,G$15:G$36)=0,G$13&gt;0),"",IF(G$38=0,"zone géo ?",SUMIF($C$15:$C$36,$C46,G$15:G$36)*IF(ISNA(VLOOKUP(CONCATENATE($C46,G$38," ",$D$39),données!$L$3:$M$47,2,0)),"",VLOOKUP(CONCATENATE($C46,G$38," ",$D$39),données!$L$3:$M$47,2,0)))))</f>
        <v/>
      </c>
      <c r="H46" s="31" t="str">
        <f>IF(OR(H$6="2f",H$6=3,H$6=4),"",IF(OR(SUMIF($C$15:$C$36,$C46,H$15:H$36)=0,H$13&gt;0),"",IF(H$38=0,"zone géo ?",SUMIF($C$15:$C$36,$C46,H$15:H$36)*IF(ISNA(VLOOKUP(CONCATENATE($C46,H$38," ",$D$39),données!$L$3:$M$47,2,0)),"",VLOOKUP(CONCATENATE($C46,H$38," ",$D$39),données!$L$3:$M$47,2,0)))))</f>
        <v/>
      </c>
      <c r="I46" s="31" t="str">
        <f>IF(OR(I$6="2f",I$6=3,I$6=4),"",IF(OR(SUMIF($C$15:$C$36,$C46,I$15:I$36)=0,I$13&gt;0),"",IF(I$38=0,"zone géo ?",SUMIF($C$15:$C$36,$C46,I$15:I$36)*IF(ISNA(VLOOKUP(CONCATENATE($C46,I$38," ",$D$39),données!$L$3:$M$47,2,0)),"",VLOOKUP(CONCATENATE($C46,I$38," ",$D$39),données!$L$3:$M$47,2,0)))))</f>
        <v/>
      </c>
      <c r="J46" s="31" t="str">
        <f>IF(OR(J$6="2f",J$6=3,J$6=4),"",IF(OR(SUMIF($C$15:$C$36,$C46,J$15:J$36)=0,J$13&gt;0),"",IF(J$38=0,"zone géo ?",SUMIF($C$15:$C$36,$C46,J$15:J$36)*IF(ISNA(VLOOKUP(CONCATENATE($C46,J$38," ",$D$39),données!$L$3:$M$47,2,0)),"",VLOOKUP(CONCATENATE($C46,J$38," ",$D$39),données!$L$3:$M$47,2,0)))))</f>
        <v/>
      </c>
      <c r="K46" s="31" t="str">
        <f>IF(OR(K$6="2f",K$6=3,K$6=4),"",IF(OR(SUMIF($C$15:$C$36,$C46,K$15:K$36)=0,K$13&gt;0),"",IF(K$38=0,"zone géo ?",SUMIF($C$15:$C$36,$C46,K$15:K$36)*IF(ISNA(VLOOKUP(CONCATENATE($C46,K$38," ",$D$39),données!$L$3:$M$47,2,0)),"",VLOOKUP(CONCATENATE($C46,K$38," ",$D$39),données!$L$3:$M$47,2,0)))))</f>
        <v/>
      </c>
      <c r="L46" s="31" t="str">
        <f>IF(OR(L$6="2f",L$6=3,L$6=4),"",IF(OR(SUMIF($C$15:$C$36,$C46,L$15:L$36)=0,L$13&gt;0),"",IF(L$38=0,"zone géo ?",SUMIF($C$15:$C$36,$C46,L$15:L$36)*IF(ISNA(VLOOKUP(CONCATENATE($C46,L$38," ",$D$39),données!$L$3:$M$47,2,0)),"",VLOOKUP(CONCATENATE($C46,L$38," ",$D$39),données!$L$3:$M$47,2,0)))))</f>
        <v/>
      </c>
      <c r="M46" s="31" t="str">
        <f>IF(OR(M$6="2f",M$6=3,M$6=4),"",IF(OR(SUMIF($C$15:$C$36,$C46,M$15:M$36)=0,M$13&gt;0),"",IF(M$38=0,"zone géo ?",SUMIF($C$15:$C$36,$C46,M$15:M$36)*IF(ISNA(VLOOKUP(CONCATENATE($C46,M$38," ",$D$39),données!$L$3:$M$47,2,0)),"",VLOOKUP(CONCATENATE($C46,M$38," ",$D$39),données!$L$3:$M$47,2,0)))))</f>
        <v/>
      </c>
      <c r="N46" s="31" t="str">
        <f>IF(OR(N$6="2f",N$6=3,N$6=4),"",IF(OR(SUMIF($C$15:$C$36,$C46,N$15:N$36)=0,N$13&gt;0),"",IF(N$38=0,"zone géo ?",SUMIF($C$15:$C$36,$C46,N$15:N$36)*IF(ISNA(VLOOKUP(CONCATENATE($C46,N$38," ",$D$39),données!$L$3:$M$47,2,0)),"",VLOOKUP(CONCATENATE($C46,N$38," ",$D$39),données!$L$3:$M$47,2,0)))))</f>
        <v/>
      </c>
      <c r="O46" s="31" t="str">
        <f>IF(OR(O$6="2f",O$6=3,O$6=4),"",IF(OR(SUMIF($C$15:$C$36,$C46,O$15:O$36)=0,O$13&gt;0),"",IF(O$38=0,"zone géo ?",SUMIF($C$15:$C$36,$C46,O$15:O$36)*IF(ISNA(VLOOKUP(CONCATENATE($C46,O$38," ",$D$39),données!$L$3:$M$47,2,0)),"",VLOOKUP(CONCATENATE($C46,O$38," ",$D$39),données!$L$3:$M$47,2,0)))))</f>
        <v/>
      </c>
      <c r="P46" s="31" t="str">
        <f>IF(OR(P$6="2f",P$6=3,P$6=4),"",IF(OR(SUMIF($C$15:$C$36,$C46,P$15:P$36)=0,P$13&gt;0),"",IF(P$38=0,"zone géo ?",SUMIF($C$15:$C$36,$C46,P$15:P$36)*IF(ISNA(VLOOKUP(CONCATENATE($C46,P$38," ",$D$39),données!$L$3:$M$47,2,0)),"",VLOOKUP(CONCATENATE($C46,P$38," ",$D$39),données!$L$3:$M$47,2,0)))))</f>
        <v/>
      </c>
      <c r="Q46" s="31" t="str">
        <f>IF(OR(Q$6="2f",Q$6=3,Q$6=4),"",IF(OR(SUMIF($C$15:$C$36,$C46,Q$15:Q$36)=0,Q$13&gt;0),"",IF(Q$38=0,"zone géo ?",SUMIF($C$15:$C$36,$C46,Q$15:Q$36)*IF(ISNA(VLOOKUP(CONCATENATE($C46,Q$38," ",$D$39),données!$L$3:$M$47,2,0)),"",VLOOKUP(CONCATENATE($C46,Q$38," ",$D$39),données!$L$3:$M$47,2,0)))))</f>
        <v/>
      </c>
      <c r="R46" s="31" t="str">
        <f>IF(OR(R$6="2f",R$6=3,R$6=4),"",IF(OR(SUMIF($C$15:$C$36,$C46,R$15:R$36)=0,R$13&gt;0),"",IF(R$38=0,"zone géo ?",SUMIF($C$15:$C$36,$C46,R$15:R$36)*IF(ISNA(VLOOKUP(CONCATENATE($C46,R$38," ",$D$39),données!$L$3:$M$47,2,0)),"",VLOOKUP(CONCATENATE($C46,R$38," ",$D$39),données!$L$3:$M$47,2,0)))))</f>
        <v/>
      </c>
      <c r="S46" s="31" t="str">
        <f>IF(OR(S$6="2f",S$6=3,S$6=4),"",IF(OR(SUMIF($C$15:$C$36,$C46,S$15:S$36)=0,S$13&gt;0),"",IF(S$38=0,"zone géo ?",SUMIF($C$15:$C$36,$C46,S$15:S$36)*IF(ISNA(VLOOKUP(CONCATENATE($C46,S$38," ",$D$39),données!$L$3:$M$47,2,0)),"",VLOOKUP(CONCATENATE($C46,S$38," ",$D$39),données!$L$3:$M$47,2,0)))))</f>
        <v/>
      </c>
      <c r="T46" s="31" t="str">
        <f>IF(OR(T$6="2f",T$6=3,T$6=4),"",IF(OR(SUMIF($C$15:$C$36,$C46,T$15:T$36)=0,T$13&gt;0),"",IF(T$38=0,"zone géo ?",SUMIF($C$15:$C$36,$C46,T$15:T$36)*IF(ISNA(VLOOKUP(CONCATENATE($C46,T$38," ",$D$39),données!$L$3:$M$47,2,0)),"",VLOOKUP(CONCATENATE($C46,T$38," ",$D$39),données!$L$3:$M$47,2,0)))))</f>
        <v/>
      </c>
      <c r="U46" s="31" t="str">
        <f>IF(OR(U$6="2f",U$6=3,U$6=4),"",IF(OR(SUMIF($C$15:$C$36,$C46,U$15:U$36)=0,U$13&gt;0),"",IF(U$38=0,"zone géo ?",SUMIF($C$15:$C$36,$C46,U$15:U$36)*IF(ISNA(VLOOKUP(CONCATENATE($C46,U$38," ",$D$39),données!$L$3:$M$47,2,0)),"",VLOOKUP(CONCATENATE($C46,U$38," ",$D$39),données!$L$3:$M$47,2,0)))))</f>
        <v/>
      </c>
      <c r="V46" s="31" t="str">
        <f>IF(OR(V$6="2f",V$6=3,V$6=4),"",IF(OR(SUMIF($C$15:$C$36,$C46,V$15:V$36)=0,V$13&gt;0),"",IF(V$38=0,"zone géo ?",SUMIF($C$15:$C$36,$C46,V$15:V$36)*IF(ISNA(VLOOKUP(CONCATENATE($C46,V$38," ",$D$39),données!$L$3:$M$47,2,0)),"",VLOOKUP(CONCATENATE($C46,V$38," ",$D$39),données!$L$3:$M$47,2,0)))))</f>
        <v/>
      </c>
      <c r="W46" s="31" t="str">
        <f>IF(OR(W$6="2f",W$6=3,W$6=4),"",IF(OR(SUMIF($C$15:$C$36,$C46,W$15:W$36)=0,W$13&gt;0),"",IF(W$38=0,"zone géo ?",SUMIF($C$15:$C$36,$C46,W$15:W$36)*IF(ISNA(VLOOKUP(CONCATENATE($C46,W$38," ",$D$39),données!$L$3:$M$47,2,0)),"",VLOOKUP(CONCATENATE($C46,W$38," ",$D$39),données!$L$3:$M$47,2,0)))))</f>
        <v/>
      </c>
      <c r="X46" s="31" t="str">
        <f>IF(OR(X$6="2f",X$6=3,X$6=4),"",IF(OR(SUMIF($C$15:$C$36,$C46,X$15:X$36)=0,X$13&gt;0),"",IF(X$38=0,"zone géo ?",SUMIF($C$15:$C$36,$C46,X$15:X$36)*IF(ISNA(VLOOKUP(CONCATENATE($C46,X$38," ",$D$39),données!$L$3:$M$47,2,0)),"",VLOOKUP(CONCATENATE($C46,X$38," ",$D$39),données!$L$3:$M$47,2,0)))))</f>
        <v/>
      </c>
      <c r="Y46" s="31" t="str">
        <f>IF(OR(Y$6="2f",Y$6=3,Y$6=4),"",IF(OR(SUMIF($C$15:$C$36,$C46,Y$15:Y$36)=0,Y$13&gt;0),"",IF(Y$38=0,"zone géo ?",SUMIF($C$15:$C$36,$C46,Y$15:Y$36)*IF(ISNA(VLOOKUP(CONCATENATE($C46,Y$38," ",$D$39),données!$L$3:$M$47,2,0)),"",VLOOKUP(CONCATENATE($C46,Y$38," ",$D$39),données!$L$3:$M$47,2,0)))))</f>
        <v/>
      </c>
      <c r="Z46" s="31" t="str">
        <f>IF(OR(Z$6="2f",Z$6=3,Z$6=4),"",IF(OR(SUMIF($C$15:$C$36,$C46,Z$15:Z$36)=0,Z$13&gt;0),"",IF(Z$38=0,"zone géo ?",SUMIF($C$15:$C$36,$C46,Z$15:Z$36)*IF(ISNA(VLOOKUP(CONCATENATE($C46,Z$38," ",$D$39),données!$L$3:$M$47,2,0)),"",VLOOKUP(CONCATENATE($C46,Z$38," ",$D$39),données!$L$3:$M$47,2,0)))))</f>
        <v/>
      </c>
      <c r="AA46" s="266">
        <f t="shared" si="31"/>
        <v>0</v>
      </c>
      <c r="AB46" s="231"/>
      <c r="AC46" s="319"/>
      <c r="AD46" s="232"/>
    </row>
    <row r="47" spans="1:30">
      <c r="A47" s="496"/>
      <c r="B47" s="606"/>
      <c r="C47" s="309" t="s">
        <v>47</v>
      </c>
      <c r="D47" s="31" t="str">
        <f>IF(OR(D$6="2f",D$6=3,D$6=4),"",IF(OR(SUMIF($C$15:$C$36,$C47,D$15:D$36)=0,D$13&gt;0),"",IF(D$38=0,"zone géo ?",SUMIF($C$15:$C$36,$C47,D$15:D$36)*IF(ISNA(VLOOKUP(CONCATENATE($C47,D$38," ",$D$39),données!$L$3:$M$47,2,0)),"",VLOOKUP(CONCATENATE($C47,D$38," ",$D$39),données!$L$3:$M$47,2,0)))))</f>
        <v/>
      </c>
      <c r="E47" s="31" t="str">
        <f>IF(OR(E$6="2f",E$6=3,E$6=4),"",IF(OR(SUMIF($C$15:$C$36,$C47,E$15:E$36)=0,E$13&gt;0),"",IF(E$38=0,"zone géo ?",SUMIF($C$15:$C$36,$C47,E$15:E$36)*IF(ISNA(VLOOKUP(CONCATENATE($C47,E$38," ",$D$39),données!$L$3:$M$47,2,0)),"",VLOOKUP(CONCATENATE($C47,E$38," ",$D$39),données!$L$3:$M$47,2,0)))))</f>
        <v/>
      </c>
      <c r="F47" s="31" t="str">
        <f>IF(OR(F$6="2f",F$6=3,F$6=4),"",IF(OR(SUMIF($C$15:$C$36,$C47,F$15:F$36)=0,F$13&gt;0),"",IF(F$38=0,"zone géo ?",SUMIF($C$15:$C$36,$C47,F$15:F$36)*IF(ISNA(VLOOKUP(CONCATENATE($C47,F$38," ",$D$39),données!$L$3:$M$47,2,0)),"",VLOOKUP(CONCATENATE($C47,F$38," ",$D$39),données!$L$3:$M$47,2,0)))))</f>
        <v/>
      </c>
      <c r="G47" s="31" t="str">
        <f>IF(OR(G$6="2f",G$6=3,G$6=4),"",IF(OR(SUMIF($C$15:$C$36,$C47,G$15:G$36)=0,G$13&gt;0),"",IF(G$38=0,"zone géo ?",SUMIF($C$15:$C$36,$C47,G$15:G$36)*IF(ISNA(VLOOKUP(CONCATENATE($C47,G$38," ",$D$39),données!$L$3:$M$47,2,0)),"",VLOOKUP(CONCATENATE($C47,G$38," ",$D$39),données!$L$3:$M$47,2,0)))))</f>
        <v/>
      </c>
      <c r="H47" s="31" t="str">
        <f>IF(OR(H$6="2f",H$6=3,H$6=4),"",IF(OR(SUMIF($C$15:$C$36,$C47,H$15:H$36)=0,H$13&gt;0),"",IF(H$38=0,"zone géo ?",SUMIF($C$15:$C$36,$C47,H$15:H$36)*IF(ISNA(VLOOKUP(CONCATENATE($C47,H$38," ",$D$39),données!$L$3:$M$47,2,0)),"",VLOOKUP(CONCATENATE($C47,H$38," ",$D$39),données!$L$3:$M$47,2,0)))))</f>
        <v/>
      </c>
      <c r="I47" s="31" t="str">
        <f>IF(OR(I$6="2f",I$6=3,I$6=4),"",IF(OR(SUMIF($C$15:$C$36,$C47,I$15:I$36)=0,I$13&gt;0),"",IF(I$38=0,"zone géo ?",SUMIF($C$15:$C$36,$C47,I$15:I$36)*IF(ISNA(VLOOKUP(CONCATENATE($C47,I$38," ",$D$39),données!$L$3:$M$47,2,0)),"",VLOOKUP(CONCATENATE($C47,I$38," ",$D$39),données!$L$3:$M$47,2,0)))))</f>
        <v/>
      </c>
      <c r="J47" s="31" t="str">
        <f>IF(OR(J$6="2f",J$6=3,J$6=4),"",IF(OR(SUMIF($C$15:$C$36,$C47,J$15:J$36)=0,J$13&gt;0),"",IF(J$38=0,"zone géo ?",SUMIF($C$15:$C$36,$C47,J$15:J$36)*IF(ISNA(VLOOKUP(CONCATENATE($C47,J$38," ",$D$39),données!$L$3:$M$47,2,0)),"",VLOOKUP(CONCATENATE($C47,J$38," ",$D$39),données!$L$3:$M$47,2,0)))))</f>
        <v/>
      </c>
      <c r="K47" s="31" t="str">
        <f>IF(OR(K$6="2f",K$6=3,K$6=4),"",IF(OR(SUMIF($C$15:$C$36,$C47,K$15:K$36)=0,K$13&gt;0),"",IF(K$38=0,"zone géo ?",SUMIF($C$15:$C$36,$C47,K$15:K$36)*IF(ISNA(VLOOKUP(CONCATENATE($C47,K$38," ",$D$39),données!$L$3:$M$47,2,0)),"",VLOOKUP(CONCATENATE($C47,K$38," ",$D$39),données!$L$3:$M$47,2,0)))))</f>
        <v/>
      </c>
      <c r="L47" s="31" t="str">
        <f>IF(OR(L$6="2f",L$6=3,L$6=4),"",IF(OR(SUMIF($C$15:$C$36,$C47,L$15:L$36)=0,L$13&gt;0),"",IF(L$38=0,"zone géo ?",SUMIF($C$15:$C$36,$C47,L$15:L$36)*IF(ISNA(VLOOKUP(CONCATENATE($C47,L$38," ",$D$39),données!$L$3:$M$47,2,0)),"",VLOOKUP(CONCATENATE($C47,L$38," ",$D$39),données!$L$3:$M$47,2,0)))))</f>
        <v/>
      </c>
      <c r="M47" s="31" t="str">
        <f>IF(OR(M$6="2f",M$6=3,M$6=4),"",IF(OR(SUMIF($C$15:$C$36,$C47,M$15:M$36)=0,M$13&gt;0),"",IF(M$38=0,"zone géo ?",SUMIF($C$15:$C$36,$C47,M$15:M$36)*IF(ISNA(VLOOKUP(CONCATENATE($C47,M$38," ",$D$39),données!$L$3:$M$47,2,0)),"",VLOOKUP(CONCATENATE($C47,M$38," ",$D$39),données!$L$3:$M$47,2,0)))))</f>
        <v/>
      </c>
      <c r="N47" s="31" t="str">
        <f>IF(OR(N$6="2f",N$6=3,N$6=4),"",IF(OR(SUMIF($C$15:$C$36,$C47,N$15:N$36)=0,N$13&gt;0),"",IF(N$38=0,"zone géo ?",SUMIF($C$15:$C$36,$C47,N$15:N$36)*IF(ISNA(VLOOKUP(CONCATENATE($C47,N$38," ",$D$39),données!$L$3:$M$47,2,0)),"",VLOOKUP(CONCATENATE($C47,N$38," ",$D$39),données!$L$3:$M$47,2,0)))))</f>
        <v/>
      </c>
      <c r="O47" s="31" t="str">
        <f>IF(OR(O$6="2f",O$6=3,O$6=4),"",IF(OR(SUMIF($C$15:$C$36,$C47,O$15:O$36)=0,O$13&gt;0),"",IF(O$38=0,"zone géo ?",SUMIF($C$15:$C$36,$C47,O$15:O$36)*IF(ISNA(VLOOKUP(CONCATENATE($C47,O$38," ",$D$39),données!$L$3:$M$47,2,0)),"",VLOOKUP(CONCATENATE($C47,O$38," ",$D$39),données!$L$3:$M$47,2,0)))))</f>
        <v/>
      </c>
      <c r="P47" s="31" t="str">
        <f>IF(OR(P$6="2f",P$6=3,P$6=4),"",IF(OR(SUMIF($C$15:$C$36,$C47,P$15:P$36)=0,P$13&gt;0),"",IF(P$38=0,"zone géo ?",SUMIF($C$15:$C$36,$C47,P$15:P$36)*IF(ISNA(VLOOKUP(CONCATENATE($C47,P$38," ",$D$39),données!$L$3:$M$47,2,0)),"",VLOOKUP(CONCATENATE($C47,P$38," ",$D$39),données!$L$3:$M$47,2,0)))))</f>
        <v/>
      </c>
      <c r="Q47" s="31" t="str">
        <f>IF(OR(Q$6="2f",Q$6=3,Q$6=4),"",IF(OR(SUMIF($C$15:$C$36,$C47,Q$15:Q$36)=0,Q$13&gt;0),"",IF(Q$38=0,"zone géo ?",SUMIF($C$15:$C$36,$C47,Q$15:Q$36)*IF(ISNA(VLOOKUP(CONCATENATE($C47,Q$38," ",$D$39),données!$L$3:$M$47,2,0)),"",VLOOKUP(CONCATENATE($C47,Q$38," ",$D$39),données!$L$3:$M$47,2,0)))))</f>
        <v/>
      </c>
      <c r="R47" s="31" t="str">
        <f>IF(OR(R$6="2f",R$6=3,R$6=4),"",IF(OR(SUMIF($C$15:$C$36,$C47,R$15:R$36)=0,R$13&gt;0),"",IF(R$38=0,"zone géo ?",SUMIF($C$15:$C$36,$C47,R$15:R$36)*IF(ISNA(VLOOKUP(CONCATENATE($C47,R$38," ",$D$39),données!$L$3:$M$47,2,0)),"",VLOOKUP(CONCATENATE($C47,R$38," ",$D$39),données!$L$3:$M$47,2,0)))))</f>
        <v/>
      </c>
      <c r="S47" s="31" t="str">
        <f>IF(OR(S$6="2f",S$6=3,S$6=4),"",IF(OR(SUMIF($C$15:$C$36,$C47,S$15:S$36)=0,S$13&gt;0),"",IF(S$38=0,"zone géo ?",SUMIF($C$15:$C$36,$C47,S$15:S$36)*IF(ISNA(VLOOKUP(CONCATENATE($C47,S$38," ",$D$39),données!$L$3:$M$47,2,0)),"",VLOOKUP(CONCATENATE($C47,S$38," ",$D$39),données!$L$3:$M$47,2,0)))))</f>
        <v/>
      </c>
      <c r="T47" s="31" t="str">
        <f>IF(OR(T$6="2f",T$6=3,T$6=4),"",IF(OR(SUMIF($C$15:$C$36,$C47,T$15:T$36)=0,T$13&gt;0),"",IF(T$38=0,"zone géo ?",SUMIF($C$15:$C$36,$C47,T$15:T$36)*IF(ISNA(VLOOKUP(CONCATENATE($C47,T$38," ",$D$39),données!$L$3:$M$47,2,0)),"",VLOOKUP(CONCATENATE($C47,T$38," ",$D$39),données!$L$3:$M$47,2,0)))))</f>
        <v/>
      </c>
      <c r="U47" s="31" t="str">
        <f>IF(OR(U$6="2f",U$6=3,U$6=4),"",IF(OR(SUMIF($C$15:$C$36,$C47,U$15:U$36)=0,U$13&gt;0),"",IF(U$38=0,"zone géo ?",SUMIF($C$15:$C$36,$C47,U$15:U$36)*IF(ISNA(VLOOKUP(CONCATENATE($C47,U$38," ",$D$39),données!$L$3:$M$47,2,0)),"",VLOOKUP(CONCATENATE($C47,U$38," ",$D$39),données!$L$3:$M$47,2,0)))))</f>
        <v/>
      </c>
      <c r="V47" s="31" t="str">
        <f>IF(OR(V$6="2f",V$6=3,V$6=4),"",IF(OR(SUMIF($C$15:$C$36,$C47,V$15:V$36)=0,V$13&gt;0),"",IF(V$38=0,"zone géo ?",SUMIF($C$15:$C$36,$C47,V$15:V$36)*IF(ISNA(VLOOKUP(CONCATENATE($C47,V$38," ",$D$39),données!$L$3:$M$47,2,0)),"",VLOOKUP(CONCATENATE($C47,V$38," ",$D$39),données!$L$3:$M$47,2,0)))))</f>
        <v/>
      </c>
      <c r="W47" s="31" t="str">
        <f>IF(OR(W$6="2f",W$6=3,W$6=4),"",IF(OR(SUMIF($C$15:$C$36,$C47,W$15:W$36)=0,W$13&gt;0),"",IF(W$38=0,"zone géo ?",SUMIF($C$15:$C$36,$C47,W$15:W$36)*IF(ISNA(VLOOKUP(CONCATENATE($C47,W$38," ",$D$39),données!$L$3:$M$47,2,0)),"",VLOOKUP(CONCATENATE($C47,W$38," ",$D$39),données!$L$3:$M$47,2,0)))))</f>
        <v/>
      </c>
      <c r="X47" s="31" t="str">
        <f>IF(OR(X$6="2f",X$6=3,X$6=4),"",IF(OR(SUMIF($C$15:$C$36,$C47,X$15:X$36)=0,X$13&gt;0),"",IF(X$38=0,"zone géo ?",SUMIF($C$15:$C$36,$C47,X$15:X$36)*IF(ISNA(VLOOKUP(CONCATENATE($C47,X$38," ",$D$39),données!$L$3:$M$47,2,0)),"",VLOOKUP(CONCATENATE($C47,X$38," ",$D$39),données!$L$3:$M$47,2,0)))))</f>
        <v/>
      </c>
      <c r="Y47" s="31" t="str">
        <f>IF(OR(Y$6="2f",Y$6=3,Y$6=4),"",IF(OR(SUMIF($C$15:$C$36,$C47,Y$15:Y$36)=0,Y$13&gt;0),"",IF(Y$38=0,"zone géo ?",SUMIF($C$15:$C$36,$C47,Y$15:Y$36)*IF(ISNA(VLOOKUP(CONCATENATE($C47,Y$38," ",$D$39),données!$L$3:$M$47,2,0)),"",VLOOKUP(CONCATENATE($C47,Y$38," ",$D$39),données!$L$3:$M$47,2,0)))))</f>
        <v/>
      </c>
      <c r="Z47" s="31" t="str">
        <f>IF(OR(Z$6="2f",Z$6=3,Z$6=4),"",IF(OR(SUMIF($C$15:$C$36,$C47,Z$15:Z$36)=0,Z$13&gt;0),"",IF(Z$38=0,"zone géo ?",SUMIF($C$15:$C$36,$C47,Z$15:Z$36)*IF(ISNA(VLOOKUP(CONCATENATE($C47,Z$38," ",$D$39),données!$L$3:$M$47,2,0)),"",VLOOKUP(CONCATENATE($C47,Z$38," ",$D$39),données!$L$3:$M$47,2,0)))))</f>
        <v/>
      </c>
      <c r="AA47" s="266">
        <f t="shared" si="31"/>
        <v>0</v>
      </c>
      <c r="AB47" s="231"/>
      <c r="AC47" s="319"/>
      <c r="AD47" s="232"/>
    </row>
    <row r="48" spans="1:30">
      <c r="A48" s="590" t="s">
        <v>338</v>
      </c>
      <c r="B48" s="591"/>
      <c r="C48" s="592"/>
      <c r="D48" s="16"/>
      <c r="E48" s="16"/>
      <c r="F48" s="16"/>
      <c r="G48" s="16"/>
      <c r="H48" s="16"/>
      <c r="I48" s="16"/>
      <c r="J48" s="16"/>
      <c r="K48" s="16"/>
      <c r="L48" s="16"/>
      <c r="M48" s="16"/>
      <c r="N48" s="16"/>
      <c r="O48" s="16"/>
      <c r="P48" s="16"/>
      <c r="Q48" s="16"/>
      <c r="R48" s="16"/>
      <c r="S48" s="16"/>
      <c r="T48" s="16"/>
      <c r="U48" s="16"/>
      <c r="V48" s="16"/>
      <c r="W48" s="16"/>
      <c r="X48" s="16"/>
      <c r="Y48" s="16"/>
      <c r="Z48" s="16"/>
      <c r="AA48" s="246"/>
      <c r="AB48" s="231"/>
      <c r="AC48" s="319"/>
      <c r="AD48" s="232"/>
    </row>
    <row r="49" spans="1:30">
      <c r="A49" s="453" t="s">
        <v>366</v>
      </c>
      <c r="B49" s="454"/>
      <c r="C49" s="455"/>
      <c r="D49" s="310"/>
      <c r="E49" s="263"/>
      <c r="F49" s="263"/>
      <c r="G49" s="263"/>
      <c r="H49" s="263"/>
      <c r="I49" s="263"/>
      <c r="J49" s="263"/>
      <c r="K49" s="263"/>
      <c r="L49" s="263"/>
      <c r="M49" s="263"/>
      <c r="N49" s="263"/>
      <c r="O49" s="263"/>
      <c r="P49" s="263"/>
      <c r="Q49" s="263"/>
      <c r="R49" s="263"/>
      <c r="S49" s="263"/>
      <c r="T49" s="263"/>
      <c r="U49" s="263"/>
      <c r="V49" s="263"/>
      <c r="W49" s="263"/>
      <c r="X49" s="263"/>
      <c r="Y49" s="263"/>
      <c r="Z49" s="263"/>
      <c r="AA49" s="246"/>
      <c r="AB49" s="231"/>
      <c r="AC49" s="319"/>
      <c r="AD49" s="232"/>
    </row>
    <row r="50" spans="1:30" ht="14.5" customHeight="1">
      <c r="A50" s="496" t="s">
        <v>284</v>
      </c>
      <c r="B50" s="595" t="s">
        <v>133</v>
      </c>
      <c r="C50" s="30" t="s">
        <v>35</v>
      </c>
      <c r="D50" s="161" t="str">
        <f>IF(OR(D$6=1,D$6="2s",D$6=3,D$6=4),"",IF(D$48="","",IF(D$48=9,0,IF(D$49="","",IF(OR(SUMIF($C$15:$C$36,$C50,D$15:D$36)=0,D$13&gt;0),0,IF(D$38=0,"zone géo ?",SUMIF($C$15:$C$36,$C50,D$15:D$36)*D49*IF(ISNA(VLOOKUP(CONCATENATE($C50,D$38," ",$D$39),données!$V$3:$W$74,2,0)),"",VLOOKUP(CONCATENATE($C50,D$38," ",$D$39),données!$V$3:$W$74,2,0))))))))</f>
        <v/>
      </c>
      <c r="E50" s="161" t="str">
        <f>IF(OR(E$6=1,E$6="2s",E$6=3,E$6=4),"",IF(E$48="","",IF(E$48=9,0,IF(E$49="","",IF(OR(SUMIF($C$15:$C$36,$C50,E$15:E$36)=0,E$13&gt;0),0,IF(E$38=0,"zone géo ?",SUMIF($C$15:$C$36,$C50,E$15:E$36)*E49*IF(ISNA(VLOOKUP(CONCATENATE($C50,E$38," ",$D$39),données!$V$3:$W$74,2,0)),"",VLOOKUP(CONCATENATE($C50,E$38," ",$D$39),données!$V$3:$W$74,2,0))))))))</f>
        <v/>
      </c>
      <c r="F50" s="161" t="str">
        <f>IF(OR(F$6=1,F$6="2s",F$6=3,F$6=4),"",IF(F$48="","",IF(F$48=9,0,IF(F$49="","",IF(OR(SUMIF($C$15:$C$36,$C50,F$15:F$36)=0,F$13&gt;0),0,IF(F$38=0,"zone géo ?",SUMIF($C$15:$C$36,$C50,F$15:F$36)*F49*IF(ISNA(VLOOKUP(CONCATENATE($C50,F$38," ",$D$39),données!$V$3:$W$74,2,0)),"",VLOOKUP(CONCATENATE($C50,F$38," ",$D$39),données!$V$3:$W$74,2,0))))))))</f>
        <v/>
      </c>
      <c r="G50" s="161" t="str">
        <f>IF(OR(G$6=1,G$6="2s",G$6=3,G$6=4),"",IF(G$48="","",IF(G$48=9,0,IF(G$49="","",IF(OR(SUMIF($C$15:$C$36,$C50,G$15:G$36)=0,G$13&gt;0),0,IF(G$38=0,"zone géo ?",SUMIF($C$15:$C$36,$C50,G$15:G$36)*G49*IF(ISNA(VLOOKUP(CONCATENATE($C50,G$38," ",$D$39),données!$V$3:$W$74,2,0)),"",VLOOKUP(CONCATENATE($C50,G$38," ",$D$39),données!$V$3:$W$74,2,0))))))))</f>
        <v/>
      </c>
      <c r="H50" s="161" t="str">
        <f>IF(OR(H$6=1,H$6="2s",H$6=3,H$6=4),"",IF(H$48="","",IF(H$48=9,0,IF(H$49="","",IF(OR(SUMIF($C$15:$C$36,$C50,H$15:H$36)=0,H$13&gt;0),0,IF(H$38=0,"zone géo ?",SUMIF($C$15:$C$36,$C50,H$15:H$36)*H49*IF(ISNA(VLOOKUP(CONCATENATE($C50,H$38," ",$D$39),données!$V$3:$W$74,2,0)),"",VLOOKUP(CONCATENATE($C50,H$38," ",$D$39),données!$V$3:$W$74,2,0))))))))</f>
        <v/>
      </c>
      <c r="I50" s="161" t="str">
        <f>IF(OR(I$6=1,I$6="2s",I$6=3,I$6=4),"",IF(I$48="","",IF(I$48=9,0,IF(I$49="","",IF(OR(SUMIF($C$15:$C$36,$C50,I$15:I$36)=0,I$13&gt;0),0,IF(I$38=0,"zone géo ?",SUMIF($C$15:$C$36,$C50,I$15:I$36)*I49*IF(ISNA(VLOOKUP(CONCATENATE($C50,I$38," ",$D$39),données!$V$3:$W$74,2,0)),"",VLOOKUP(CONCATENATE($C50,I$38," ",$D$39),données!$V$3:$W$74,2,0))))))))</f>
        <v/>
      </c>
      <c r="J50" s="161" t="str">
        <f>IF(OR(J$6=1,J$6="2s",J$6=3,J$6=4),"",IF(J$48="","",IF(J$48=9,0,IF(J$49="","",IF(OR(SUMIF($C$15:$C$36,$C50,J$15:J$36)=0,J$13&gt;0),0,IF(J$38=0,"zone géo ?",SUMIF($C$15:$C$36,$C50,J$15:J$36)*J49*IF(ISNA(VLOOKUP(CONCATENATE($C50,J$38," ",$D$39),données!$V$3:$W$74,2,0)),"",VLOOKUP(CONCATENATE($C50,J$38," ",$D$39),données!$V$3:$W$74,2,0))))))))</f>
        <v/>
      </c>
      <c r="K50" s="161" t="str">
        <f>IF(OR(K$6=1,K$6="2s",K$6=3,K$6=4),"",IF(K$48="","",IF(K$48=9,0,IF(K$49="","",IF(OR(SUMIF($C$15:$C$36,$C50,K$15:K$36)=0,K$13&gt;0),0,IF(K$38=0,"zone géo ?",SUMIF($C$15:$C$36,$C50,K$15:K$36)*K49*IF(ISNA(VLOOKUP(CONCATENATE($C50,K$38," ",$D$39),données!$V$3:$W$74,2,0)),"",VLOOKUP(CONCATENATE($C50,K$38," ",$D$39),données!$V$3:$W$74,2,0))))))))</f>
        <v/>
      </c>
      <c r="L50" s="161" t="str">
        <f>IF(OR(L$6=1,L$6="2s",L$6=3,L$6=4),"",IF(L$48="","",IF(L$48=9,0,IF(L$49="","",IF(OR(SUMIF($C$15:$C$36,$C50,L$15:L$36)=0,L$13&gt;0),0,IF(L$38=0,"zone géo ?",SUMIF($C$15:$C$36,$C50,L$15:L$36)*L49*IF(ISNA(VLOOKUP(CONCATENATE($C50,L$38," ",$D$39),données!$V$3:$W$74,2,0)),"",VLOOKUP(CONCATENATE($C50,L$38," ",$D$39),données!$V$3:$W$74,2,0))))))))</f>
        <v/>
      </c>
      <c r="M50" s="161" t="str">
        <f>IF(OR(M$6=1,M$6="2s",M$6=3,M$6=4),"",IF(M$48="","",IF(M$48=9,0,IF(M$49="","",IF(OR(SUMIF($C$15:$C$36,$C50,M$15:M$36)=0,M$13&gt;0),0,IF(M$38=0,"zone géo ?",SUMIF($C$15:$C$36,$C50,M$15:M$36)*M49*IF(ISNA(VLOOKUP(CONCATENATE($C50,M$38," ",$D$39),données!$V$3:$W$74,2,0)),"",VLOOKUP(CONCATENATE($C50,M$38," ",$D$39),données!$V$3:$W$74,2,0))))))))</f>
        <v/>
      </c>
      <c r="N50" s="161" t="str">
        <f>IF(OR(N$6=1,N$6="2s",N$6=3,N$6=4),"",IF(N$48="","",IF(N$48=9,0,IF(N$49="","",IF(OR(SUMIF($C$15:$C$36,$C50,N$15:N$36)=0,N$13&gt;0),0,IF(N$38=0,"zone géo ?",SUMIF($C$15:$C$36,$C50,N$15:N$36)*N49*IF(ISNA(VLOOKUP(CONCATENATE($C50,N$38," ",$D$39),données!$V$3:$W$74,2,0)),"",VLOOKUP(CONCATENATE($C50,N$38," ",$D$39),données!$V$3:$W$74,2,0))))))))</f>
        <v/>
      </c>
      <c r="O50" s="161" t="str">
        <f>IF(OR(O$6=1,O$6="2s",O$6=3,O$6=4),"",IF(O$48="","",IF(O$48=9,0,IF(O$49="","",IF(OR(SUMIF($C$15:$C$36,$C50,O$15:O$36)=0,O$13&gt;0),0,IF(O$38=0,"zone géo ?",SUMIF($C$15:$C$36,$C50,O$15:O$36)*O49*IF(ISNA(VLOOKUP(CONCATENATE($C50,O$38," ",$D$39),données!$V$3:$W$74,2,0)),"",VLOOKUP(CONCATENATE($C50,O$38," ",$D$39),données!$V$3:$W$74,2,0))))))))</f>
        <v/>
      </c>
      <c r="P50" s="161" t="str">
        <f>IF(OR(P$6=1,P$6="2s",P$6=3,P$6=4),"",IF(P$48="","",IF(P$48=9,0,IF(P$49="","",IF(OR(SUMIF($C$15:$C$36,$C50,P$15:P$36)=0,P$13&gt;0),0,IF(P$38=0,"zone géo ?",SUMIF($C$15:$C$36,$C50,P$15:P$36)*P49*IF(ISNA(VLOOKUP(CONCATENATE($C50,P$38," ",$D$39),données!$V$3:$W$74,2,0)),"",VLOOKUP(CONCATENATE($C50,P$38," ",$D$39),données!$V$3:$W$74,2,0))))))))</f>
        <v/>
      </c>
      <c r="Q50" s="161" t="str">
        <f>IF(OR(Q$6=1,Q$6="2s",Q$6=3,Q$6=4),"",IF(Q$48="","",IF(Q$48=9,0,IF(Q$49="","",IF(OR(SUMIF($C$15:$C$36,$C50,Q$15:Q$36)=0,Q$13&gt;0),0,IF(Q$38=0,"zone géo ?",SUMIF($C$15:$C$36,$C50,Q$15:Q$36)*Q49*IF(ISNA(VLOOKUP(CONCATENATE($C50,Q$38," ",$D$39),données!$V$3:$W$74,2,0)),"",VLOOKUP(CONCATENATE($C50,Q$38," ",$D$39),données!$V$3:$W$74,2,0))))))))</f>
        <v/>
      </c>
      <c r="R50" s="161" t="str">
        <f>IF(OR(R$6=1,R$6="2s",R$6=3,R$6=4),"",IF(R$48="","",IF(R$48=9,0,IF(R$49="","",IF(OR(SUMIF($C$15:$C$36,$C50,R$15:R$36)=0,R$13&gt;0),0,IF(R$38=0,"zone géo ?",SUMIF($C$15:$C$36,$C50,R$15:R$36)*R49*IF(ISNA(VLOOKUP(CONCATENATE($C50,R$38," ",$D$39),données!$V$3:$W$74,2,0)),"",VLOOKUP(CONCATENATE($C50,R$38," ",$D$39),données!$V$3:$W$74,2,0))))))))</f>
        <v/>
      </c>
      <c r="S50" s="161" t="str">
        <f>IF(OR(S$6=1,S$6="2s",S$6=3,S$6=4),"",IF(S$48="","",IF(S$48=9,0,IF(S$49="","",IF(OR(SUMIF($C$15:$C$36,$C50,S$15:S$36)=0,S$13&gt;0),0,IF(S$38=0,"zone géo ?",SUMIF($C$15:$C$36,$C50,S$15:S$36)*S49*IF(ISNA(VLOOKUP(CONCATENATE($C50,S$38," ",$D$39),données!$V$3:$W$74,2,0)),"",VLOOKUP(CONCATENATE($C50,S$38," ",$D$39),données!$V$3:$W$74,2,0))))))))</f>
        <v/>
      </c>
      <c r="T50" s="161" t="str">
        <f>IF(OR(T$6=1,T$6="2s",T$6=3,T$6=4),"",IF(T$48="","",IF(T$48=9,0,IF(T$49="","",IF(OR(SUMIF($C$15:$C$36,$C50,T$15:T$36)=0,T$13&gt;0),0,IF(T$38=0,"zone géo ?",SUMIF($C$15:$C$36,$C50,T$15:T$36)*T49*IF(ISNA(VLOOKUP(CONCATENATE($C50,T$38," ",$D$39),données!$V$3:$W$74,2,0)),"",VLOOKUP(CONCATENATE($C50,T$38," ",$D$39),données!$V$3:$W$74,2,0))))))))</f>
        <v/>
      </c>
      <c r="U50" s="161" t="str">
        <f>IF(OR(U$6=1,U$6="2s",U$6=3,U$6=4),"",IF(U$48="","",IF(U$48=9,0,IF(U$49="","",IF(OR(SUMIF($C$15:$C$36,$C50,U$15:U$36)=0,U$13&gt;0),0,IF(U$38=0,"zone géo ?",SUMIF($C$15:$C$36,$C50,U$15:U$36)*U49*IF(ISNA(VLOOKUP(CONCATENATE($C50,U$38," ",$D$39),données!$V$3:$W$74,2,0)),"",VLOOKUP(CONCATENATE($C50,U$38," ",$D$39),données!$V$3:$W$74,2,0))))))))</f>
        <v/>
      </c>
      <c r="V50" s="161" t="str">
        <f>IF(OR(V$6=1,V$6="2s",V$6=3,V$6=4),"",IF(V$48="","",IF(V$48=9,0,IF(V$49="","",IF(OR(SUMIF($C$15:$C$36,$C50,V$15:V$36)=0,V$13&gt;0),0,IF(V$38=0,"zone géo ?",SUMIF($C$15:$C$36,$C50,V$15:V$36)*V49*IF(ISNA(VLOOKUP(CONCATENATE($C50,V$38," ",$D$39),données!$V$3:$W$74,2,0)),"",VLOOKUP(CONCATENATE($C50,V$38," ",$D$39),données!$V$3:$W$74,2,0))))))))</f>
        <v/>
      </c>
      <c r="W50" s="161" t="str">
        <f>IF(OR(W$6=1,W$6="2s",W$6=3,W$6=4),"",IF(W$48="","",IF(W$48=9,0,IF(W$49="","",IF(OR(SUMIF($C$15:$C$36,$C50,W$15:W$36)=0,W$13&gt;0),0,IF(W$38=0,"zone géo ?",SUMIF($C$15:$C$36,$C50,W$15:W$36)*W49*IF(ISNA(VLOOKUP(CONCATENATE($C50,W$38," ",$D$39),données!$V$3:$W$74,2,0)),"",VLOOKUP(CONCATENATE($C50,W$38," ",$D$39),données!$V$3:$W$74,2,0))))))))</f>
        <v/>
      </c>
      <c r="X50" s="161" t="str">
        <f>IF(OR(X$6=1,X$6="2s",X$6=3,X$6=4),"",IF(X$48="","",IF(X$48=9,0,IF(X$49="","",IF(OR(SUMIF($C$15:$C$36,$C50,X$15:X$36)=0,X$13&gt;0),0,IF(X$38=0,"zone géo ?",SUMIF($C$15:$C$36,$C50,X$15:X$36)*X49*IF(ISNA(VLOOKUP(CONCATENATE($C50,X$38," ",$D$39),données!$V$3:$W$74,2,0)),"",VLOOKUP(CONCATENATE($C50,X$38," ",$D$39),données!$V$3:$W$74,2,0))))))))</f>
        <v/>
      </c>
      <c r="Y50" s="161" t="str">
        <f>IF(OR(Y$6=1,Y$6="2s",Y$6=3,Y$6=4),"",IF(Y$48="","",IF(Y$48=9,0,IF(Y$49="","",IF(OR(SUMIF($C$15:$C$36,$C50,Y$15:Y$36)=0,Y$13&gt;0),0,IF(Y$38=0,"zone géo ?",SUMIF($C$15:$C$36,$C50,Y$15:Y$36)*Y49*IF(ISNA(VLOOKUP(CONCATENATE($C50,Y$38," ",$D$39),données!$V$3:$W$74,2,0)),"",VLOOKUP(CONCATENATE($C50,Y$38," ",$D$39),données!$V$3:$W$74,2,0))))))))</f>
        <v/>
      </c>
      <c r="Z50" s="161" t="str">
        <f>IF(OR(Z$6=1,Z$6="2s",Z$6=3,Z$6=4),"",IF(Z$48="","",IF(Z$48=9,0,IF(Z$49="","",IF(OR(SUMIF($C$15:$C$36,$C50,Z$15:Z$36)=0,Z$13&gt;0),0,IF(Z$38=0,"zone géo ?",SUMIF($C$15:$C$36,$C50,Z$15:Z$36)*Z49*IF(ISNA(VLOOKUP(CONCATENATE($C50,Z$38," ",$D$39),données!$V$3:$W$74,2,0)),"",VLOOKUP(CONCATENATE($C50,Z$38," ",$D$39),données!$V$3:$W$74,2,0))))))))</f>
        <v/>
      </c>
      <c r="AA50" s="246">
        <f>SUM(D50:Z50)</f>
        <v>0</v>
      </c>
      <c r="AB50" s="233"/>
      <c r="AC50" s="320"/>
      <c r="AD50" s="234"/>
    </row>
    <row r="51" spans="1:30">
      <c r="A51" s="496"/>
      <c r="B51" s="595"/>
      <c r="C51" s="30" t="s">
        <v>37</v>
      </c>
      <c r="D51" s="161" t="str">
        <f>IF(OR(D$6=1,D$6="2s",D$6=3,D$6=4),"",IF(D$48="","",IF(D$48=9,0,IF(D$49="","",IF(OR(SUMIF($C$15:$C$36,$C51,D$15:D$36)=0,D$13&gt;0),0,IF(D$38=0,"zone géo ?",SUMIF($C$15:$C$36,$C51,D$15:D$36)*D$49*IF(ISNA(VLOOKUP(CONCATENATE($C51,D$38," ",$D$39),données!$V$3:$W$74,2,0)),"",VLOOKUP(CONCATENATE($C51,D$38," ",$D$39),données!$V$3:$W$74,2,0))))))))</f>
        <v/>
      </c>
      <c r="E51" s="161" t="str">
        <f>IF(OR(E$6=1,E$6="2s",E$6=3,E$6=4),"",IF(E$48="","",IF(E$48=9,0,IF(E$49="","",IF(OR(SUMIF($C$15:$C$36,$C51,E$15:E$36)=0,E$13&gt;0),0,IF(E$38=0,"zone géo ?",SUMIF($C$15:$C$36,$C51,E$15:E$36)*E$49*IF(ISNA(VLOOKUP(CONCATENATE($C51,E$38," ",$D$39),données!$V$3:$W$74,2,0)),"",VLOOKUP(CONCATENATE($C51,E$38," ",$D$39),données!$V$3:$W$74,2,0))))))))</f>
        <v/>
      </c>
      <c r="F51" s="161" t="str">
        <f>IF(OR(F$6=1,F$6="2s",F$6=3,F$6=4),"",IF(F$48="","",IF(F$48=9,0,IF(F$49="","",IF(OR(SUMIF($C$15:$C$36,$C51,F$15:F$36)=0,F$13&gt;0),0,IF(F$38=0,"zone géo ?",SUMIF($C$15:$C$36,$C51,F$15:F$36)*F$49*IF(ISNA(VLOOKUP(CONCATENATE($C51,F$38," ",$D$39),données!$V$3:$W$74,2,0)),"",VLOOKUP(CONCATENATE($C51,F$38," ",$D$39),données!$V$3:$W$74,2,0))))))))</f>
        <v/>
      </c>
      <c r="G51" s="161" t="str">
        <f>IF(OR(G$6=1,G$6="2s",G$6=3,G$6=4),"",IF(G$48="","",IF(G$48=9,0,IF(G$49="","",IF(OR(SUMIF($C$15:$C$36,$C51,G$15:G$36)=0,G$13&gt;0),0,IF(G$38=0,"zone géo ?",SUMIF($C$15:$C$36,$C51,G$15:G$36)*G$49*IF(ISNA(VLOOKUP(CONCATENATE($C51,G$38," ",$D$39),données!$V$3:$W$74,2,0)),"",VLOOKUP(CONCATENATE($C51,G$38," ",$D$39),données!$V$3:$W$74,2,0))))))))</f>
        <v/>
      </c>
      <c r="H51" s="161" t="str">
        <f>IF(OR(H$6=1,H$6="2s",H$6=3,H$6=4),"",IF(H$48="","",IF(H$48=9,0,IF(H$49="","",IF(OR(SUMIF($C$15:$C$36,$C51,H$15:H$36)=0,H$13&gt;0),0,IF(H$38=0,"zone géo ?",SUMIF($C$15:$C$36,$C51,H$15:H$36)*H$49*IF(ISNA(VLOOKUP(CONCATENATE($C51,H$38," ",$D$39),données!$V$3:$W$74,2,0)),"",VLOOKUP(CONCATENATE($C51,H$38," ",$D$39),données!$V$3:$W$74,2,0))))))))</f>
        <v/>
      </c>
      <c r="I51" s="161" t="str">
        <f>IF(OR(I$6=1,I$6="2s",I$6=3,I$6=4),"",IF(I$48="","",IF(I$48=9,0,IF(I$49="","",IF(OR(SUMIF($C$15:$C$36,$C51,I$15:I$36)=0,I$13&gt;0),0,IF(I$38=0,"zone géo ?",SUMIF($C$15:$C$36,$C51,I$15:I$36)*I$49*IF(ISNA(VLOOKUP(CONCATENATE($C51,I$38," ",$D$39),données!$V$3:$W$74,2,0)),"",VLOOKUP(CONCATENATE($C51,I$38," ",$D$39),données!$V$3:$W$74,2,0))))))))</f>
        <v/>
      </c>
      <c r="J51" s="161" t="str">
        <f>IF(OR(J$6=1,J$6="2s",J$6=3,J$6=4),"",IF(J$48="","",IF(J$48=9,0,IF(J$49="","",IF(OR(SUMIF($C$15:$C$36,$C51,J$15:J$36)=0,J$13&gt;0),0,IF(J$38=0,"zone géo ?",SUMIF($C$15:$C$36,$C51,J$15:J$36)*J$49*IF(ISNA(VLOOKUP(CONCATENATE($C51,J$38," ",$D$39),données!$V$3:$W$74,2,0)),"",VLOOKUP(CONCATENATE($C51,J$38," ",$D$39),données!$V$3:$W$74,2,0))))))))</f>
        <v/>
      </c>
      <c r="K51" s="161" t="str">
        <f>IF(OR(K$6=1,K$6="2s",K$6=3,K$6=4),"",IF(K$48="","",IF(K$48=9,0,IF(K$49="","",IF(OR(SUMIF($C$15:$C$36,$C51,K$15:K$36)=0,K$13&gt;0),0,IF(K$38=0,"zone géo ?",SUMIF($C$15:$C$36,$C51,K$15:K$36)*K$49*IF(ISNA(VLOOKUP(CONCATENATE($C51,K$38," ",$D$39),données!$V$3:$W$74,2,0)),"",VLOOKUP(CONCATENATE($C51,K$38," ",$D$39),données!$V$3:$W$74,2,0))))))))</f>
        <v/>
      </c>
      <c r="L51" s="161" t="str">
        <f>IF(OR(L$6=1,L$6="2s",L$6=3,L$6=4),"",IF(L$48="","",IF(L$48=9,0,IF(L$49="","",IF(OR(SUMIF($C$15:$C$36,$C51,L$15:L$36)=0,L$13&gt;0),0,IF(L$38=0,"zone géo ?",SUMIF($C$15:$C$36,$C51,L$15:L$36)*L$49*IF(ISNA(VLOOKUP(CONCATENATE($C51,L$38," ",$D$39),données!$V$3:$W$74,2,0)),"",VLOOKUP(CONCATENATE($C51,L$38," ",$D$39),données!$V$3:$W$74,2,0))))))))</f>
        <v/>
      </c>
      <c r="M51" s="161" t="str">
        <f>IF(OR(M$6=1,M$6="2s",M$6=3,M$6=4),"",IF(M$48="","",IF(M$48=9,0,IF(M$49="","",IF(OR(SUMIF($C$15:$C$36,$C51,M$15:M$36)=0,M$13&gt;0),0,IF(M$38=0,"zone géo ?",SUMIF($C$15:$C$36,$C51,M$15:M$36)*M$49*IF(ISNA(VLOOKUP(CONCATENATE($C51,M$38," ",$D$39),données!$V$3:$W$74,2,0)),"",VLOOKUP(CONCATENATE($C51,M$38," ",$D$39),données!$V$3:$W$74,2,0))))))))</f>
        <v/>
      </c>
      <c r="N51" s="161" t="str">
        <f>IF(OR(N$6=1,N$6="2s",N$6=3,N$6=4),"",IF(N$48="","",IF(N$48=9,0,IF(N$49="","",IF(OR(SUMIF($C$15:$C$36,$C51,N$15:N$36)=0,N$13&gt;0),0,IF(N$38=0,"zone géo ?",SUMIF($C$15:$C$36,$C51,N$15:N$36)*N$49*IF(ISNA(VLOOKUP(CONCATENATE($C51,N$38," ",$D$39),données!$V$3:$W$74,2,0)),"",VLOOKUP(CONCATENATE($C51,N$38," ",$D$39),données!$V$3:$W$74,2,0))))))))</f>
        <v/>
      </c>
      <c r="O51" s="161" t="str">
        <f>IF(OR(O$6=1,O$6="2s",O$6=3,O$6=4),"",IF(O$48="","",IF(O$48=9,0,IF(O$49="","",IF(OR(SUMIF($C$15:$C$36,$C51,O$15:O$36)=0,O$13&gt;0),0,IF(O$38=0,"zone géo ?",SUMIF($C$15:$C$36,$C51,O$15:O$36)*O$49*IF(ISNA(VLOOKUP(CONCATENATE($C51,O$38," ",$D$39),données!$V$3:$W$74,2,0)),"",VLOOKUP(CONCATENATE($C51,O$38," ",$D$39),données!$V$3:$W$74,2,0))))))))</f>
        <v/>
      </c>
      <c r="P51" s="161" t="str">
        <f>IF(OR(P$6=1,P$6="2s",P$6=3,P$6=4),"",IF(P$48="","",IF(P$48=9,0,IF(P$49="","",IF(OR(SUMIF($C$15:$C$36,$C51,P$15:P$36)=0,P$13&gt;0),0,IF(P$38=0,"zone géo ?",SUMIF($C$15:$C$36,$C51,P$15:P$36)*P$49*IF(ISNA(VLOOKUP(CONCATENATE($C51,P$38," ",$D$39),données!$V$3:$W$74,2,0)),"",VLOOKUP(CONCATENATE($C51,P$38," ",$D$39),données!$V$3:$W$74,2,0))))))))</f>
        <v/>
      </c>
      <c r="Q51" s="161" t="str">
        <f>IF(OR(Q$6=1,Q$6="2s",Q$6=3,Q$6=4),"",IF(Q$48="","",IF(Q$48=9,0,IF(Q$49="","",IF(OR(SUMIF($C$15:$C$36,$C51,Q$15:Q$36)=0,Q$13&gt;0),0,IF(Q$38=0,"zone géo ?",SUMIF($C$15:$C$36,$C51,Q$15:Q$36)*Q$49*IF(ISNA(VLOOKUP(CONCATENATE($C51,Q$38," ",$D$39),données!$V$3:$W$74,2,0)),"",VLOOKUP(CONCATENATE($C51,Q$38," ",$D$39),données!$V$3:$W$74,2,0))))))))</f>
        <v/>
      </c>
      <c r="R51" s="161" t="str">
        <f>IF(OR(R$6=1,R$6="2s",R$6=3,R$6=4),"",IF(R$48="","",IF(R$48=9,0,IF(R$49="","",IF(OR(SUMIF($C$15:$C$36,$C51,R$15:R$36)=0,R$13&gt;0),0,IF(R$38=0,"zone géo ?",SUMIF($C$15:$C$36,$C51,R$15:R$36)*R$49*IF(ISNA(VLOOKUP(CONCATENATE($C51,R$38," ",$D$39),données!$V$3:$W$74,2,0)),"",VLOOKUP(CONCATENATE($C51,R$38," ",$D$39),données!$V$3:$W$74,2,0))))))))</f>
        <v/>
      </c>
      <c r="S51" s="161" t="str">
        <f>IF(OR(S$6=1,S$6="2s",S$6=3,S$6=4),"",IF(S$48="","",IF(S$48=9,0,IF(S$49="","",IF(OR(SUMIF($C$15:$C$36,$C51,S$15:S$36)=0,S$13&gt;0),0,IF(S$38=0,"zone géo ?",SUMIF($C$15:$C$36,$C51,S$15:S$36)*S$49*IF(ISNA(VLOOKUP(CONCATENATE($C51,S$38," ",$D$39),données!$V$3:$W$74,2,0)),"",VLOOKUP(CONCATENATE($C51,S$38," ",$D$39),données!$V$3:$W$74,2,0))))))))</f>
        <v/>
      </c>
      <c r="T51" s="161" t="str">
        <f>IF(OR(T$6=1,T$6="2s",T$6=3,T$6=4),"",IF(T$48="","",IF(T$48=9,0,IF(T$49="","",IF(OR(SUMIF($C$15:$C$36,$C51,T$15:T$36)=0,T$13&gt;0),0,IF(T$38=0,"zone géo ?",SUMIF($C$15:$C$36,$C51,T$15:T$36)*T$49*IF(ISNA(VLOOKUP(CONCATENATE($C51,T$38," ",$D$39),données!$V$3:$W$74,2,0)),"",VLOOKUP(CONCATENATE($C51,T$38," ",$D$39),données!$V$3:$W$74,2,0))))))))</f>
        <v/>
      </c>
      <c r="U51" s="161" t="str">
        <f>IF(OR(U$6=1,U$6="2s",U$6=3,U$6=4),"",IF(U$48="","",IF(U$48=9,0,IF(U$49="","",IF(OR(SUMIF($C$15:$C$36,$C51,U$15:U$36)=0,U$13&gt;0),0,IF(U$38=0,"zone géo ?",SUMIF($C$15:$C$36,$C51,U$15:U$36)*U$49*IF(ISNA(VLOOKUP(CONCATENATE($C51,U$38," ",$D$39),données!$V$3:$W$74,2,0)),"",VLOOKUP(CONCATENATE($C51,U$38," ",$D$39),données!$V$3:$W$74,2,0))))))))</f>
        <v/>
      </c>
      <c r="V51" s="161" t="str">
        <f>IF(OR(V$6=1,V$6="2s",V$6=3,V$6=4),"",IF(V$48="","",IF(V$48=9,0,IF(V$49="","",IF(OR(SUMIF($C$15:$C$36,$C51,V$15:V$36)=0,V$13&gt;0),0,IF(V$38=0,"zone géo ?",SUMIF($C$15:$C$36,$C51,V$15:V$36)*V$49*IF(ISNA(VLOOKUP(CONCATENATE($C51,V$38," ",$D$39),données!$V$3:$W$74,2,0)),"",VLOOKUP(CONCATENATE($C51,V$38," ",$D$39),données!$V$3:$W$74,2,0))))))))</f>
        <v/>
      </c>
      <c r="W51" s="161" t="str">
        <f>IF(OR(W$6=1,W$6="2s",W$6=3,W$6=4),"",IF(W$48="","",IF(W$48=9,0,IF(W$49="","",IF(OR(SUMIF($C$15:$C$36,$C51,W$15:W$36)=0,W$13&gt;0),0,IF(W$38=0,"zone géo ?",SUMIF($C$15:$C$36,$C51,W$15:W$36)*W$49*IF(ISNA(VLOOKUP(CONCATENATE($C51,W$38," ",$D$39),données!$V$3:$W$74,2,0)),"",VLOOKUP(CONCATENATE($C51,W$38," ",$D$39),données!$V$3:$W$74,2,0))))))))</f>
        <v/>
      </c>
      <c r="X51" s="161" t="str">
        <f>IF(OR(X$6=1,X$6="2s",X$6=3,X$6=4),"",IF(X$48="","",IF(X$48=9,0,IF(X$49="","",IF(OR(SUMIF($C$15:$C$36,$C51,X$15:X$36)=0,X$13&gt;0),0,IF(X$38=0,"zone géo ?",SUMIF($C$15:$C$36,$C51,X$15:X$36)*X$49*IF(ISNA(VLOOKUP(CONCATENATE($C51,X$38," ",$D$39),données!$V$3:$W$74,2,0)),"",VLOOKUP(CONCATENATE($C51,X$38," ",$D$39),données!$V$3:$W$74,2,0))))))))</f>
        <v/>
      </c>
      <c r="Y51" s="161" t="str">
        <f>IF(OR(Y$6=1,Y$6="2s",Y$6=3,Y$6=4),"",IF(Y$48="","",IF(Y$48=9,0,IF(Y$49="","",IF(OR(SUMIF($C$15:$C$36,$C51,Y$15:Y$36)=0,Y$13&gt;0),0,IF(Y$38=0,"zone géo ?",SUMIF($C$15:$C$36,$C51,Y$15:Y$36)*Y$49*IF(ISNA(VLOOKUP(CONCATENATE($C51,Y$38," ",$D$39),données!$V$3:$W$74,2,0)),"",VLOOKUP(CONCATENATE($C51,Y$38," ",$D$39),données!$V$3:$W$74,2,0))))))))</f>
        <v/>
      </c>
      <c r="Z51" s="161" t="str">
        <f>IF(OR(Z$6=1,Z$6="2s",Z$6=3,Z$6=4),"",IF(Z$48="","",IF(Z$48=9,0,IF(Z$49="","",IF(OR(SUMIF($C$15:$C$36,$C51,Z$15:Z$36)=0,Z$13&gt;0),0,IF(Z$38=0,"zone géo ?",SUMIF($C$15:$C$36,$C51,Z$15:Z$36)*Z$49*IF(ISNA(VLOOKUP(CONCATENATE($C51,Z$38," ",$D$39),données!$V$3:$W$74,2,0)),"",VLOOKUP(CONCATENATE($C51,Z$38," ",$D$39),données!$V$3:$W$74,2,0))))))))</f>
        <v/>
      </c>
      <c r="AA51" s="246">
        <f t="shared" ref="AA51:AA61" si="32">+SUM(D51:Z51)</f>
        <v>0</v>
      </c>
      <c r="AB51" s="231"/>
      <c r="AC51" s="319"/>
      <c r="AD51" s="232"/>
    </row>
    <row r="52" spans="1:30">
      <c r="A52" s="496"/>
      <c r="B52" s="595"/>
      <c r="C52" s="30" t="s">
        <v>39</v>
      </c>
      <c r="D52" s="161" t="str">
        <f>IF(OR(D$6=1,D$6="2s",D$6=3,D$6=4),"",IF(D$48="","",IF(D$48=9,0,IF(D$49="","",IF(OR(SUMIF($C$15:$C$36,$C52,D$15:D$36)=0,D$13&gt;0),0,IF(D$38=0,"zone géo ?",SUMIF($C$15:$C$36,$C52,D$15:D$36)*D$49*IF(ISNA(VLOOKUP(CONCATENATE($C52,D$38," ",$D$39),données!$V$3:$W$74,2,0)),"",VLOOKUP(CONCATENATE($C52,D$38," ",$D$39),données!$V$3:$W$74,2,0))))))))</f>
        <v/>
      </c>
      <c r="E52" s="161" t="str">
        <f>IF(OR(E$6=1,E$6="2s",E$6=3,E$6=4),"",IF(E$48="","",IF(E$48=9,0,IF(E$49="","",IF(OR(SUMIF($C$15:$C$36,$C52,E$15:E$36)=0,E$13&gt;0),0,IF(E$38=0,"zone géo ?",SUMIF($C$15:$C$36,$C52,E$15:E$36)*E$49*IF(ISNA(VLOOKUP(CONCATENATE($C52,E$38," ",$D$39),données!$V$3:$W$74,2,0)),"",VLOOKUP(CONCATENATE($C52,E$38," ",$D$39),données!$V$3:$W$74,2,0))))))))</f>
        <v/>
      </c>
      <c r="F52" s="161" t="str">
        <f>IF(OR(F$6=1,F$6="2s",F$6=3,F$6=4),"",IF(F$48="","",IF(F$48=9,0,IF(F$49="","",IF(OR(SUMIF($C$15:$C$36,$C52,F$15:F$36)=0,F$13&gt;0),0,IF(F$38=0,"zone géo ?",SUMIF($C$15:$C$36,$C52,F$15:F$36)*F$49*IF(ISNA(VLOOKUP(CONCATENATE($C52,F$38," ",$D$39),données!$V$3:$W$74,2,0)),"",VLOOKUP(CONCATENATE($C52,F$38," ",$D$39),données!$V$3:$W$74,2,0))))))))</f>
        <v/>
      </c>
      <c r="G52" s="161" t="str">
        <f>IF(OR(G$6=1,G$6="2s",G$6=3,G$6=4),"",IF(G$48="","",IF(G$48=9,0,IF(G$49="","",IF(OR(SUMIF($C$15:$C$36,$C52,G$15:G$36)=0,G$13&gt;0),0,IF(G$38=0,"zone géo ?",SUMIF($C$15:$C$36,$C52,G$15:G$36)*G$49*IF(ISNA(VLOOKUP(CONCATENATE($C52,G$38," ",$D$39),données!$V$3:$W$74,2,0)),"",VLOOKUP(CONCATENATE($C52,G$38," ",$D$39),données!$V$3:$W$74,2,0))))))))</f>
        <v/>
      </c>
      <c r="H52" s="161" t="str">
        <f>IF(OR(H$6=1,H$6="2s",H$6=3,H$6=4),"",IF(H$48="","",IF(H$48=9,0,IF(H$49="","",IF(OR(SUMIF($C$15:$C$36,$C52,H$15:H$36)=0,H$13&gt;0),0,IF(H$38=0,"zone géo ?",SUMIF($C$15:$C$36,$C52,H$15:H$36)*H$49*IF(ISNA(VLOOKUP(CONCATENATE($C52,H$38," ",$D$39),données!$V$3:$W$74,2,0)),"",VLOOKUP(CONCATENATE($C52,H$38," ",$D$39),données!$V$3:$W$74,2,0))))))))</f>
        <v/>
      </c>
      <c r="I52" s="161" t="str">
        <f>IF(OR(I$6=1,I$6="2s",I$6=3,I$6=4),"",IF(I$48="","",IF(I$48=9,0,IF(I$49="","",IF(OR(SUMIF($C$15:$C$36,$C52,I$15:I$36)=0,I$13&gt;0),0,IF(I$38=0,"zone géo ?",SUMIF($C$15:$C$36,$C52,I$15:I$36)*I$49*IF(ISNA(VLOOKUP(CONCATENATE($C52,I$38," ",$D$39),données!$V$3:$W$74,2,0)),"",VLOOKUP(CONCATENATE($C52,I$38," ",$D$39),données!$V$3:$W$74,2,0))))))))</f>
        <v/>
      </c>
      <c r="J52" s="161" t="str">
        <f>IF(OR(J$6=1,J$6="2s",J$6=3,J$6=4),"",IF(J$48="","",IF(J$48=9,0,IF(J$49="","",IF(OR(SUMIF($C$15:$C$36,$C52,J$15:J$36)=0,J$13&gt;0),0,IF(J$38=0,"zone géo ?",SUMIF($C$15:$C$36,$C52,J$15:J$36)*J$49*IF(ISNA(VLOOKUP(CONCATENATE($C52,J$38," ",$D$39),données!$V$3:$W$74,2,0)),"",VLOOKUP(CONCATENATE($C52,J$38," ",$D$39),données!$V$3:$W$74,2,0))))))))</f>
        <v/>
      </c>
      <c r="K52" s="161" t="str">
        <f>IF(OR(K$6=1,K$6="2s",K$6=3,K$6=4),"",IF(K$48="","",IF(K$48=9,0,IF(K$49="","",IF(OR(SUMIF($C$15:$C$36,$C52,K$15:K$36)=0,K$13&gt;0),0,IF(K$38=0,"zone géo ?",SUMIF($C$15:$C$36,$C52,K$15:K$36)*K$49*IF(ISNA(VLOOKUP(CONCATENATE($C52,K$38," ",$D$39),données!$V$3:$W$74,2,0)),"",VLOOKUP(CONCATENATE($C52,K$38," ",$D$39),données!$V$3:$W$74,2,0))))))))</f>
        <v/>
      </c>
      <c r="L52" s="161" t="str">
        <f>IF(OR(L$6=1,L$6="2s",L$6=3,L$6=4),"",IF(L$48="","",IF(L$48=9,0,IF(L$49="","",IF(OR(SUMIF($C$15:$C$36,$C52,L$15:L$36)=0,L$13&gt;0),0,IF(L$38=0,"zone géo ?",SUMIF($C$15:$C$36,$C52,L$15:L$36)*L$49*IF(ISNA(VLOOKUP(CONCATENATE($C52,L$38," ",$D$39),données!$V$3:$W$74,2,0)),"",VLOOKUP(CONCATENATE($C52,L$38," ",$D$39),données!$V$3:$W$74,2,0))))))))</f>
        <v/>
      </c>
      <c r="M52" s="161" t="str">
        <f>IF(OR(M$6=1,M$6="2s",M$6=3,M$6=4),"",IF(M$48="","",IF(M$48=9,0,IF(M$49="","",IF(OR(SUMIF($C$15:$C$36,$C52,M$15:M$36)=0,M$13&gt;0),0,IF(M$38=0,"zone géo ?",SUMIF($C$15:$C$36,$C52,M$15:M$36)*M$49*IF(ISNA(VLOOKUP(CONCATENATE($C52,M$38," ",$D$39),données!$V$3:$W$74,2,0)),"",VLOOKUP(CONCATENATE($C52,M$38," ",$D$39),données!$V$3:$W$74,2,0))))))))</f>
        <v/>
      </c>
      <c r="N52" s="161" t="str">
        <f>IF(OR(N$6=1,N$6="2s",N$6=3,N$6=4),"",IF(N$48="","",IF(N$48=9,0,IF(N$49="","",IF(OR(SUMIF($C$15:$C$36,$C52,N$15:N$36)=0,N$13&gt;0),0,IF(N$38=0,"zone géo ?",SUMIF($C$15:$C$36,$C52,N$15:N$36)*N$49*IF(ISNA(VLOOKUP(CONCATENATE($C52,N$38," ",$D$39),données!$V$3:$W$74,2,0)),"",VLOOKUP(CONCATENATE($C52,N$38," ",$D$39),données!$V$3:$W$74,2,0))))))))</f>
        <v/>
      </c>
      <c r="O52" s="161" t="str">
        <f>IF(OR(O$6=1,O$6="2s",O$6=3,O$6=4),"",IF(O$48="","",IF(O$48=9,0,IF(O$49="","",IF(OR(SUMIF($C$15:$C$36,$C52,O$15:O$36)=0,O$13&gt;0),0,IF(O$38=0,"zone géo ?",SUMIF($C$15:$C$36,$C52,O$15:O$36)*O$49*IF(ISNA(VLOOKUP(CONCATENATE($C52,O$38," ",$D$39),données!$V$3:$W$74,2,0)),"",VLOOKUP(CONCATENATE($C52,O$38," ",$D$39),données!$V$3:$W$74,2,0))))))))</f>
        <v/>
      </c>
      <c r="P52" s="161" t="str">
        <f>IF(OR(P$6=1,P$6="2s",P$6=3,P$6=4),"",IF(P$48="","",IF(P$48=9,0,IF(P$49="","",IF(OR(SUMIF($C$15:$C$36,$C52,P$15:P$36)=0,P$13&gt;0),0,IF(P$38=0,"zone géo ?",SUMIF($C$15:$C$36,$C52,P$15:P$36)*P$49*IF(ISNA(VLOOKUP(CONCATENATE($C52,P$38," ",$D$39),données!$V$3:$W$74,2,0)),"",VLOOKUP(CONCATENATE($C52,P$38," ",$D$39),données!$V$3:$W$74,2,0))))))))</f>
        <v/>
      </c>
      <c r="Q52" s="161" t="str">
        <f>IF(OR(Q$6=1,Q$6="2s",Q$6=3,Q$6=4),"",IF(Q$48="","",IF(Q$48=9,0,IF(Q$49="","",IF(OR(SUMIF($C$15:$C$36,$C52,Q$15:Q$36)=0,Q$13&gt;0),0,IF(Q$38=0,"zone géo ?",SUMIF($C$15:$C$36,$C52,Q$15:Q$36)*Q$49*IF(ISNA(VLOOKUP(CONCATENATE($C52,Q$38," ",$D$39),données!$V$3:$W$74,2,0)),"",VLOOKUP(CONCATENATE($C52,Q$38," ",$D$39),données!$V$3:$W$74,2,0))))))))</f>
        <v/>
      </c>
      <c r="R52" s="161" t="str">
        <f>IF(OR(R$6=1,R$6="2s",R$6=3,R$6=4),"",IF(R$48="","",IF(R$48=9,0,IF(R$49="","",IF(OR(SUMIF($C$15:$C$36,$C52,R$15:R$36)=0,R$13&gt;0),0,IF(R$38=0,"zone géo ?",SUMIF($C$15:$C$36,$C52,R$15:R$36)*R$49*IF(ISNA(VLOOKUP(CONCATENATE($C52,R$38," ",$D$39),données!$V$3:$W$74,2,0)),"",VLOOKUP(CONCATENATE($C52,R$38," ",$D$39),données!$V$3:$W$74,2,0))))))))</f>
        <v/>
      </c>
      <c r="S52" s="161" t="str">
        <f>IF(OR(S$6=1,S$6="2s",S$6=3,S$6=4),"",IF(S$48="","",IF(S$48=9,0,IF(S$49="","",IF(OR(SUMIF($C$15:$C$36,$C52,S$15:S$36)=0,S$13&gt;0),0,IF(S$38=0,"zone géo ?",SUMIF($C$15:$C$36,$C52,S$15:S$36)*S$49*IF(ISNA(VLOOKUP(CONCATENATE($C52,S$38," ",$D$39),données!$V$3:$W$74,2,0)),"",VLOOKUP(CONCATENATE($C52,S$38," ",$D$39),données!$V$3:$W$74,2,0))))))))</f>
        <v/>
      </c>
      <c r="T52" s="161" t="str">
        <f>IF(OR(T$6=1,T$6="2s",T$6=3,T$6=4),"",IF(T$48="","",IF(T$48=9,0,IF(T$49="","",IF(OR(SUMIF($C$15:$C$36,$C52,T$15:T$36)=0,T$13&gt;0),0,IF(T$38=0,"zone géo ?",SUMIF($C$15:$C$36,$C52,T$15:T$36)*T$49*IF(ISNA(VLOOKUP(CONCATENATE($C52,T$38," ",$D$39),données!$V$3:$W$74,2,0)),"",VLOOKUP(CONCATENATE($C52,T$38," ",$D$39),données!$V$3:$W$74,2,0))))))))</f>
        <v/>
      </c>
      <c r="U52" s="161" t="str">
        <f>IF(OR(U$6=1,U$6="2s",U$6=3,U$6=4),"",IF(U$48="","",IF(U$48=9,0,IF(U$49="","",IF(OR(SUMIF($C$15:$C$36,$C52,U$15:U$36)=0,U$13&gt;0),0,IF(U$38=0,"zone géo ?",SUMIF($C$15:$C$36,$C52,U$15:U$36)*U$49*IF(ISNA(VLOOKUP(CONCATENATE($C52,U$38," ",$D$39),données!$V$3:$W$74,2,0)),"",VLOOKUP(CONCATENATE($C52,U$38," ",$D$39),données!$V$3:$W$74,2,0))))))))</f>
        <v/>
      </c>
      <c r="V52" s="161" t="str">
        <f>IF(OR(V$6=1,V$6="2s",V$6=3,V$6=4),"",IF(V$48="","",IF(V$48=9,0,IF(V$49="","",IF(OR(SUMIF($C$15:$C$36,$C52,V$15:V$36)=0,V$13&gt;0),0,IF(V$38=0,"zone géo ?",SUMIF($C$15:$C$36,$C52,V$15:V$36)*V$49*IF(ISNA(VLOOKUP(CONCATENATE($C52,V$38," ",$D$39),données!$V$3:$W$74,2,0)),"",VLOOKUP(CONCATENATE($C52,V$38," ",$D$39),données!$V$3:$W$74,2,0))))))))</f>
        <v/>
      </c>
      <c r="W52" s="161" t="str">
        <f>IF(OR(W$6=1,W$6="2s",W$6=3,W$6=4),"",IF(W$48="","",IF(W$48=9,0,IF(W$49="","",IF(OR(SUMIF($C$15:$C$36,$C52,W$15:W$36)=0,W$13&gt;0),0,IF(W$38=0,"zone géo ?",SUMIF($C$15:$C$36,$C52,W$15:W$36)*W$49*IF(ISNA(VLOOKUP(CONCATENATE($C52,W$38," ",$D$39),données!$V$3:$W$74,2,0)),"",VLOOKUP(CONCATENATE($C52,W$38," ",$D$39),données!$V$3:$W$74,2,0))))))))</f>
        <v/>
      </c>
      <c r="X52" s="161" t="str">
        <f>IF(OR(X$6=1,X$6="2s",X$6=3,X$6=4),"",IF(X$48="","",IF(X$48=9,0,IF(X$49="","",IF(OR(SUMIF($C$15:$C$36,$C52,X$15:X$36)=0,X$13&gt;0),0,IF(X$38=0,"zone géo ?",SUMIF($C$15:$C$36,$C52,X$15:X$36)*X$49*IF(ISNA(VLOOKUP(CONCATENATE($C52,X$38," ",$D$39),données!$V$3:$W$74,2,0)),"",VLOOKUP(CONCATENATE($C52,X$38," ",$D$39),données!$V$3:$W$74,2,0))))))))</f>
        <v/>
      </c>
      <c r="Y52" s="161" t="str">
        <f>IF(OR(Y$6=1,Y$6="2s",Y$6=3,Y$6=4),"",IF(Y$48="","",IF(Y$48=9,0,IF(Y$49="","",IF(OR(SUMIF($C$15:$C$36,$C52,Y$15:Y$36)=0,Y$13&gt;0),0,IF(Y$38=0,"zone géo ?",SUMIF($C$15:$C$36,$C52,Y$15:Y$36)*Y$49*IF(ISNA(VLOOKUP(CONCATENATE($C52,Y$38," ",$D$39),données!$V$3:$W$74,2,0)),"",VLOOKUP(CONCATENATE($C52,Y$38," ",$D$39),données!$V$3:$W$74,2,0))))))))</f>
        <v/>
      </c>
      <c r="Z52" s="161" t="str">
        <f>IF(OR(Z$6=1,Z$6="2s",Z$6=3,Z$6=4),"",IF(Z$48="","",IF(Z$48=9,0,IF(Z$49="","",IF(OR(SUMIF($C$15:$C$36,$C52,Z$15:Z$36)=0,Z$13&gt;0),0,IF(Z$38=0,"zone géo ?",SUMIF($C$15:$C$36,$C52,Z$15:Z$36)*Z$49*IF(ISNA(VLOOKUP(CONCATENATE($C52,Z$38," ",$D$39),données!$V$3:$W$74,2,0)),"",VLOOKUP(CONCATENATE($C52,Z$38," ",$D$39),données!$V$3:$W$74,2,0))))))))</f>
        <v/>
      </c>
      <c r="AA52" s="246">
        <f t="shared" si="32"/>
        <v>0</v>
      </c>
      <c r="AB52" s="233"/>
      <c r="AC52" s="320"/>
      <c r="AD52" s="234"/>
    </row>
    <row r="53" spans="1:30">
      <c r="A53" s="496"/>
      <c r="B53" s="595"/>
      <c r="C53" s="30" t="s">
        <v>41</v>
      </c>
      <c r="D53" s="161" t="str">
        <f>IF(OR(D$6=1,D$6="2s",D$6=3,D$6=4),"",IF(D$48="","",IF(D$48=9,0,IF(D$49="","",IF(OR(SUMIF($C$15:$C$36,$C53,D$15:D$36)=0,D$13&gt;0),0,IF(D$38=0,"zone géo ?",SUMIF($C$15:$C$36,$C53,D$15:D$36)*D$49*IF(ISNA(VLOOKUP(CONCATENATE($C53,D$38," ",$D$39),données!$V$3:$W$74,2,0)),"",VLOOKUP(CONCATENATE($C53,D$38," ",$D$39),données!$V$3:$W$74,2,0))))))))</f>
        <v/>
      </c>
      <c r="E53" s="161" t="str">
        <f>IF(OR(E$6=1,E$6="2s",E$6=3,E$6=4),"",IF(E$48="","",IF(E$48=9,0,IF(E$49="","",IF(OR(SUMIF($C$15:$C$36,$C53,E$15:E$36)=0,E$13&gt;0),0,IF(E$38=0,"zone géo ?",SUMIF($C$15:$C$36,$C53,E$15:E$36)*E$49*IF(ISNA(VLOOKUP(CONCATENATE($C53,E$38," ",$D$39),données!$V$3:$W$74,2,0)),"",VLOOKUP(CONCATENATE($C53,E$38," ",$D$39),données!$V$3:$W$74,2,0))))))))</f>
        <v/>
      </c>
      <c r="F53" s="161" t="str">
        <f>IF(OR(F$6=1,F$6="2s",F$6=3,F$6=4),"",IF(F$48="","",IF(F$48=9,0,IF(F$49="","",IF(OR(SUMIF($C$15:$C$36,$C53,F$15:F$36)=0,F$13&gt;0),0,IF(F$38=0,"zone géo ?",SUMIF($C$15:$C$36,$C53,F$15:F$36)*F$49*IF(ISNA(VLOOKUP(CONCATENATE($C53,F$38," ",$D$39),données!$V$3:$W$74,2,0)),"",VLOOKUP(CONCATENATE($C53,F$38," ",$D$39),données!$V$3:$W$74,2,0))))))))</f>
        <v/>
      </c>
      <c r="G53" s="161" t="str">
        <f>IF(OR(G$6=1,G$6="2s",G$6=3,G$6=4),"",IF(G$48="","",IF(G$48=9,0,IF(G$49="","",IF(OR(SUMIF($C$15:$C$36,$C53,G$15:G$36)=0,G$13&gt;0),0,IF(G$38=0,"zone géo ?",SUMIF($C$15:$C$36,$C53,G$15:G$36)*G$49*IF(ISNA(VLOOKUP(CONCATENATE($C53,G$38," ",$D$39),données!$V$3:$W$74,2,0)),"",VLOOKUP(CONCATENATE($C53,G$38," ",$D$39),données!$V$3:$W$74,2,0))))))))</f>
        <v/>
      </c>
      <c r="H53" s="161" t="str">
        <f>IF(OR(H$6=1,H$6="2s",H$6=3,H$6=4),"",IF(H$48="","",IF(H$48=9,0,IF(H$49="","",IF(OR(SUMIF($C$15:$C$36,$C53,H$15:H$36)=0,H$13&gt;0),0,IF(H$38=0,"zone géo ?",SUMIF($C$15:$C$36,$C53,H$15:H$36)*H$49*IF(ISNA(VLOOKUP(CONCATENATE($C53,H$38," ",$D$39),données!$V$3:$W$74,2,0)),"",VLOOKUP(CONCATENATE($C53,H$38," ",$D$39),données!$V$3:$W$74,2,0))))))))</f>
        <v/>
      </c>
      <c r="I53" s="161" t="str">
        <f>IF(OR(I$6=1,I$6="2s",I$6=3,I$6=4),"",IF(I$48="","",IF(I$48=9,0,IF(I$49="","",IF(OR(SUMIF($C$15:$C$36,$C53,I$15:I$36)=0,I$13&gt;0),0,IF(I$38=0,"zone géo ?",SUMIF($C$15:$C$36,$C53,I$15:I$36)*I$49*IF(ISNA(VLOOKUP(CONCATENATE($C53,I$38," ",$D$39),données!$V$3:$W$74,2,0)),"",VLOOKUP(CONCATENATE($C53,I$38," ",$D$39),données!$V$3:$W$74,2,0))))))))</f>
        <v/>
      </c>
      <c r="J53" s="161" t="str">
        <f>IF(OR(J$6=1,J$6="2s",J$6=3,J$6=4),"",IF(J$48="","",IF(J$48=9,0,IF(J$49="","",IF(OR(SUMIF($C$15:$C$36,$C53,J$15:J$36)=0,J$13&gt;0),0,IF(J$38=0,"zone géo ?",SUMIF($C$15:$C$36,$C53,J$15:J$36)*J$49*IF(ISNA(VLOOKUP(CONCATENATE($C53,J$38," ",$D$39),données!$V$3:$W$74,2,0)),"",VLOOKUP(CONCATENATE($C53,J$38," ",$D$39),données!$V$3:$W$74,2,0))))))))</f>
        <v/>
      </c>
      <c r="K53" s="161" t="str">
        <f>IF(OR(K$6=1,K$6="2s",K$6=3,K$6=4),"",IF(K$48="","",IF(K$48=9,0,IF(K$49="","",IF(OR(SUMIF($C$15:$C$36,$C53,K$15:K$36)=0,K$13&gt;0),0,IF(K$38=0,"zone géo ?",SUMIF($C$15:$C$36,$C53,K$15:K$36)*K$49*IF(ISNA(VLOOKUP(CONCATENATE($C53,K$38," ",$D$39),données!$V$3:$W$74,2,0)),"",VLOOKUP(CONCATENATE($C53,K$38," ",$D$39),données!$V$3:$W$74,2,0))))))))</f>
        <v/>
      </c>
      <c r="L53" s="161" t="str">
        <f>IF(OR(L$6=1,L$6="2s",L$6=3,L$6=4),"",IF(L$48="","",IF(L$48=9,0,IF(L$49="","",IF(OR(SUMIF($C$15:$C$36,$C53,L$15:L$36)=0,L$13&gt;0),0,IF(L$38=0,"zone géo ?",SUMIF($C$15:$C$36,$C53,L$15:L$36)*L$49*IF(ISNA(VLOOKUP(CONCATENATE($C53,L$38," ",$D$39),données!$V$3:$W$74,2,0)),"",VLOOKUP(CONCATENATE($C53,L$38," ",$D$39),données!$V$3:$W$74,2,0))))))))</f>
        <v/>
      </c>
      <c r="M53" s="161" t="str">
        <f>IF(OR(M$6=1,M$6="2s",M$6=3,M$6=4),"",IF(M$48="","",IF(M$48=9,0,IF(M$49="","",IF(OR(SUMIF($C$15:$C$36,$C53,M$15:M$36)=0,M$13&gt;0),0,IF(M$38=0,"zone géo ?",SUMIF($C$15:$C$36,$C53,M$15:M$36)*M$49*IF(ISNA(VLOOKUP(CONCATENATE($C53,M$38," ",$D$39),données!$V$3:$W$74,2,0)),"",VLOOKUP(CONCATENATE($C53,M$38," ",$D$39),données!$V$3:$W$74,2,0))))))))</f>
        <v/>
      </c>
      <c r="N53" s="161" t="str">
        <f>IF(OR(N$6=1,N$6="2s",N$6=3,N$6=4),"",IF(N$48="","",IF(N$48=9,0,IF(N$49="","",IF(OR(SUMIF($C$15:$C$36,$C53,N$15:N$36)=0,N$13&gt;0),0,IF(N$38=0,"zone géo ?",SUMIF($C$15:$C$36,$C53,N$15:N$36)*N$49*IF(ISNA(VLOOKUP(CONCATENATE($C53,N$38," ",$D$39),données!$V$3:$W$74,2,0)),"",VLOOKUP(CONCATENATE($C53,N$38," ",$D$39),données!$V$3:$W$74,2,0))))))))</f>
        <v/>
      </c>
      <c r="O53" s="161" t="str">
        <f>IF(OR(O$6=1,O$6="2s",O$6=3,O$6=4),"",IF(O$48="","",IF(O$48=9,0,IF(O$49="","",IF(OR(SUMIF($C$15:$C$36,$C53,O$15:O$36)=0,O$13&gt;0),0,IF(O$38=0,"zone géo ?",SUMIF($C$15:$C$36,$C53,O$15:O$36)*O$49*IF(ISNA(VLOOKUP(CONCATENATE($C53,O$38," ",$D$39),données!$V$3:$W$74,2,0)),"",VLOOKUP(CONCATENATE($C53,O$38," ",$D$39),données!$V$3:$W$74,2,0))))))))</f>
        <v/>
      </c>
      <c r="P53" s="161" t="str">
        <f>IF(OR(P$6=1,P$6="2s",P$6=3,P$6=4),"",IF(P$48="","",IF(P$48=9,0,IF(P$49="","",IF(OR(SUMIF($C$15:$C$36,$C53,P$15:P$36)=0,P$13&gt;0),0,IF(P$38=0,"zone géo ?",SUMIF($C$15:$C$36,$C53,P$15:P$36)*P$49*IF(ISNA(VLOOKUP(CONCATENATE($C53,P$38," ",$D$39),données!$V$3:$W$74,2,0)),"",VLOOKUP(CONCATENATE($C53,P$38," ",$D$39),données!$V$3:$W$74,2,0))))))))</f>
        <v/>
      </c>
      <c r="Q53" s="161" t="str">
        <f>IF(OR(Q$6=1,Q$6="2s",Q$6=3,Q$6=4),"",IF(Q$48="","",IF(Q$48=9,0,IF(Q$49="","",IF(OR(SUMIF($C$15:$C$36,$C53,Q$15:Q$36)=0,Q$13&gt;0),0,IF(Q$38=0,"zone géo ?",SUMIF($C$15:$C$36,$C53,Q$15:Q$36)*Q$49*IF(ISNA(VLOOKUP(CONCATENATE($C53,Q$38," ",$D$39),données!$V$3:$W$74,2,0)),"",VLOOKUP(CONCATENATE($C53,Q$38," ",$D$39),données!$V$3:$W$74,2,0))))))))</f>
        <v/>
      </c>
      <c r="R53" s="161" t="str">
        <f>IF(OR(R$6=1,R$6="2s",R$6=3,R$6=4),"",IF(R$48="","",IF(R$48=9,0,IF(R$49="","",IF(OR(SUMIF($C$15:$C$36,$C53,R$15:R$36)=0,R$13&gt;0),0,IF(R$38=0,"zone géo ?",SUMIF($C$15:$C$36,$C53,R$15:R$36)*R$49*IF(ISNA(VLOOKUP(CONCATENATE($C53,R$38," ",$D$39),données!$V$3:$W$74,2,0)),"",VLOOKUP(CONCATENATE($C53,R$38," ",$D$39),données!$V$3:$W$74,2,0))))))))</f>
        <v/>
      </c>
      <c r="S53" s="161" t="str">
        <f>IF(OR(S$6=1,S$6="2s",S$6=3,S$6=4),"",IF(S$48="","",IF(S$48=9,0,IF(S$49="","",IF(OR(SUMIF($C$15:$C$36,$C53,S$15:S$36)=0,S$13&gt;0),0,IF(S$38=0,"zone géo ?",SUMIF($C$15:$C$36,$C53,S$15:S$36)*S$49*IF(ISNA(VLOOKUP(CONCATENATE($C53,S$38," ",$D$39),données!$V$3:$W$74,2,0)),"",VLOOKUP(CONCATENATE($C53,S$38," ",$D$39),données!$V$3:$W$74,2,0))))))))</f>
        <v/>
      </c>
      <c r="T53" s="161" t="str">
        <f>IF(OR(T$6=1,T$6="2s",T$6=3,T$6=4),"",IF(T$48="","",IF(T$48=9,0,IF(T$49="","",IF(OR(SUMIF($C$15:$C$36,$C53,T$15:T$36)=0,T$13&gt;0),0,IF(T$38=0,"zone géo ?",SUMIF($C$15:$C$36,$C53,T$15:T$36)*T$49*IF(ISNA(VLOOKUP(CONCATENATE($C53,T$38," ",$D$39),données!$V$3:$W$74,2,0)),"",VLOOKUP(CONCATENATE($C53,T$38," ",$D$39),données!$V$3:$W$74,2,0))))))))</f>
        <v/>
      </c>
      <c r="U53" s="161" t="str">
        <f>IF(OR(U$6=1,U$6="2s",U$6=3,U$6=4),"",IF(U$48="","",IF(U$48=9,0,IF(U$49="","",IF(OR(SUMIF($C$15:$C$36,$C53,U$15:U$36)=0,U$13&gt;0),0,IF(U$38=0,"zone géo ?",SUMIF($C$15:$C$36,$C53,U$15:U$36)*U$49*IF(ISNA(VLOOKUP(CONCATENATE($C53,U$38," ",$D$39),données!$V$3:$W$74,2,0)),"",VLOOKUP(CONCATENATE($C53,U$38," ",$D$39),données!$V$3:$W$74,2,0))))))))</f>
        <v/>
      </c>
      <c r="V53" s="161" t="str">
        <f>IF(OR(V$6=1,V$6="2s",V$6=3,V$6=4),"",IF(V$48="","",IF(V$48=9,0,IF(V$49="","",IF(OR(SUMIF($C$15:$C$36,$C53,V$15:V$36)=0,V$13&gt;0),0,IF(V$38=0,"zone géo ?",SUMIF($C$15:$C$36,$C53,V$15:V$36)*V$49*IF(ISNA(VLOOKUP(CONCATENATE($C53,V$38," ",$D$39),données!$V$3:$W$74,2,0)),"",VLOOKUP(CONCATENATE($C53,V$38," ",$D$39),données!$V$3:$W$74,2,0))))))))</f>
        <v/>
      </c>
      <c r="W53" s="161" t="str">
        <f>IF(OR(W$6=1,W$6="2s",W$6=3,W$6=4),"",IF(W$48="","",IF(W$48=9,0,IF(W$49="","",IF(OR(SUMIF($C$15:$C$36,$C53,W$15:W$36)=0,W$13&gt;0),0,IF(W$38=0,"zone géo ?",SUMIF($C$15:$C$36,$C53,W$15:W$36)*W$49*IF(ISNA(VLOOKUP(CONCATENATE($C53,W$38," ",$D$39),données!$V$3:$W$74,2,0)),"",VLOOKUP(CONCATENATE($C53,W$38," ",$D$39),données!$V$3:$W$74,2,0))))))))</f>
        <v/>
      </c>
      <c r="X53" s="161" t="str">
        <f>IF(OR(X$6=1,X$6="2s",X$6=3,X$6=4),"",IF(X$48="","",IF(X$48=9,0,IF(X$49="","",IF(OR(SUMIF($C$15:$C$36,$C53,X$15:X$36)=0,X$13&gt;0),0,IF(X$38=0,"zone géo ?",SUMIF($C$15:$C$36,$C53,X$15:X$36)*X$49*IF(ISNA(VLOOKUP(CONCATENATE($C53,X$38," ",$D$39),données!$V$3:$W$74,2,0)),"",VLOOKUP(CONCATENATE($C53,X$38," ",$D$39),données!$V$3:$W$74,2,0))))))))</f>
        <v/>
      </c>
      <c r="Y53" s="161" t="str">
        <f>IF(OR(Y$6=1,Y$6="2s",Y$6=3,Y$6=4),"",IF(Y$48="","",IF(Y$48=9,0,IF(Y$49="","",IF(OR(SUMIF($C$15:$C$36,$C53,Y$15:Y$36)=0,Y$13&gt;0),0,IF(Y$38=0,"zone géo ?",SUMIF($C$15:$C$36,$C53,Y$15:Y$36)*Y$49*IF(ISNA(VLOOKUP(CONCATENATE($C53,Y$38," ",$D$39),données!$V$3:$W$74,2,0)),"",VLOOKUP(CONCATENATE($C53,Y$38," ",$D$39),données!$V$3:$W$74,2,0))))))))</f>
        <v/>
      </c>
      <c r="Z53" s="161" t="str">
        <f>IF(OR(Z$6=1,Z$6="2s",Z$6=3,Z$6=4),"",IF(Z$48="","",IF(Z$48=9,0,IF(Z$49="","",IF(OR(SUMIF($C$15:$C$36,$C53,Z$15:Z$36)=0,Z$13&gt;0),0,IF(Z$38=0,"zone géo ?",SUMIF($C$15:$C$36,$C53,Z$15:Z$36)*Z$49*IF(ISNA(VLOOKUP(CONCATENATE($C53,Z$38," ",$D$39),données!$V$3:$W$74,2,0)),"",VLOOKUP(CONCATENATE($C53,Z$38," ",$D$39),données!$V$3:$W$74,2,0))))))))</f>
        <v/>
      </c>
      <c r="AA53" s="246">
        <f t="shared" si="32"/>
        <v>0</v>
      </c>
      <c r="AB53" s="231"/>
      <c r="AC53" s="319"/>
      <c r="AD53" s="232"/>
    </row>
    <row r="54" spans="1:30">
      <c r="A54" s="496"/>
      <c r="B54" s="595"/>
      <c r="C54" s="30" t="s">
        <v>43</v>
      </c>
      <c r="D54" s="161" t="str">
        <f>IF(OR(D$6=1,D$6="2s",D$6=3,D$6=4),"",IF(D$48="","",IF(D$48=9,0,IF(D$49="","",IF(OR(SUMIF($C$15:$C$36,$C54,D$15:D$36)=0,D$13&gt;0),0,IF(D$38=0,"zone géo ?",SUMIF($C$15:$C$36,$C54,D$15:D$36)*D$49*IF(ISNA(VLOOKUP(CONCATENATE($C54,D$38," ",$D$39),données!$V$3:$W$74,2,0)),"",VLOOKUP(CONCATENATE($C54,D$38," ",$D$39),données!$V$3:$W$74,2,0))))))))</f>
        <v/>
      </c>
      <c r="E54" s="161" t="str">
        <f>IF(OR(E$6=1,E$6="2s",E$6=3,E$6=4),"",IF(E$48="","",IF(E$48=9,0,IF(E$49="","",IF(OR(SUMIF($C$15:$C$36,$C54,E$15:E$36)=0,E$13&gt;0),0,IF(E$38=0,"zone géo ?",SUMIF($C$15:$C$36,$C54,E$15:E$36)*E$49*IF(ISNA(VLOOKUP(CONCATENATE($C54,E$38," ",$D$39),données!$V$3:$W$74,2,0)),"",VLOOKUP(CONCATENATE($C54,E$38," ",$D$39),données!$V$3:$W$74,2,0))))))))</f>
        <v/>
      </c>
      <c r="F54" s="161" t="str">
        <f>IF(OR(F$6=1,F$6="2s",F$6=3,F$6=4),"",IF(F$48="","",IF(F$48=9,0,IF(F$49="","",IF(OR(SUMIF($C$15:$C$36,$C54,F$15:F$36)=0,F$13&gt;0),0,IF(F$38=0,"zone géo ?",SUMIF($C$15:$C$36,$C54,F$15:F$36)*F$49*IF(ISNA(VLOOKUP(CONCATENATE($C54,F$38," ",$D$39),données!$V$3:$W$74,2,0)),"",VLOOKUP(CONCATENATE($C54,F$38," ",$D$39),données!$V$3:$W$74,2,0))))))))</f>
        <v/>
      </c>
      <c r="G54" s="161" t="str">
        <f>IF(OR(G$6=1,G$6="2s",G$6=3,G$6=4),"",IF(G$48="","",IF(G$48=9,0,IF(G$49="","",IF(OR(SUMIF($C$15:$C$36,$C54,G$15:G$36)=0,G$13&gt;0),0,IF(G$38=0,"zone géo ?",SUMIF($C$15:$C$36,$C54,G$15:G$36)*G$49*IF(ISNA(VLOOKUP(CONCATENATE($C54,G$38," ",$D$39),données!$V$3:$W$74,2,0)),"",VLOOKUP(CONCATENATE($C54,G$38," ",$D$39),données!$V$3:$W$74,2,0))))))))</f>
        <v/>
      </c>
      <c r="H54" s="161" t="str">
        <f>IF(OR(H$6=1,H$6="2s",H$6=3,H$6=4),"",IF(H$48="","",IF(H$48=9,0,IF(H$49="","",IF(OR(SUMIF($C$15:$C$36,$C54,H$15:H$36)=0,H$13&gt;0),0,IF(H$38=0,"zone géo ?",SUMIF($C$15:$C$36,$C54,H$15:H$36)*H$49*IF(ISNA(VLOOKUP(CONCATENATE($C54,H$38," ",$D$39),données!$V$3:$W$74,2,0)),"",VLOOKUP(CONCATENATE($C54,H$38," ",$D$39),données!$V$3:$W$74,2,0))))))))</f>
        <v/>
      </c>
      <c r="I54" s="161" t="str">
        <f>IF(OR(I$6=1,I$6="2s",I$6=3,I$6=4),"",IF(I$48="","",IF(I$48=9,0,IF(I$49="","",IF(OR(SUMIF($C$15:$C$36,$C54,I$15:I$36)=0,I$13&gt;0),0,IF(I$38=0,"zone géo ?",SUMIF($C$15:$C$36,$C54,I$15:I$36)*I$49*IF(ISNA(VLOOKUP(CONCATENATE($C54,I$38," ",$D$39),données!$V$3:$W$74,2,0)),"",VLOOKUP(CONCATENATE($C54,I$38," ",$D$39),données!$V$3:$W$74,2,0))))))))</f>
        <v/>
      </c>
      <c r="J54" s="161" t="str">
        <f>IF(OR(J$6=1,J$6="2s",J$6=3,J$6=4),"",IF(J$48="","",IF(J$48=9,0,IF(J$49="","",IF(OR(SUMIF($C$15:$C$36,$C54,J$15:J$36)=0,J$13&gt;0),0,IF(J$38=0,"zone géo ?",SUMIF($C$15:$C$36,$C54,J$15:J$36)*J$49*IF(ISNA(VLOOKUP(CONCATENATE($C54,J$38," ",$D$39),données!$V$3:$W$74,2,0)),"",VLOOKUP(CONCATENATE($C54,J$38," ",$D$39),données!$V$3:$W$74,2,0))))))))</f>
        <v/>
      </c>
      <c r="K54" s="161" t="str">
        <f>IF(OR(K$6=1,K$6="2s",K$6=3,K$6=4),"",IF(K$48="","",IF(K$48=9,0,IF(K$49="","",IF(OR(SUMIF($C$15:$C$36,$C54,K$15:K$36)=0,K$13&gt;0),0,IF(K$38=0,"zone géo ?",SUMIF($C$15:$C$36,$C54,K$15:K$36)*K$49*IF(ISNA(VLOOKUP(CONCATENATE($C54,K$38," ",$D$39),données!$V$3:$W$74,2,0)),"",VLOOKUP(CONCATENATE($C54,K$38," ",$D$39),données!$V$3:$W$74,2,0))))))))</f>
        <v/>
      </c>
      <c r="L54" s="161" t="str">
        <f>IF(OR(L$6=1,L$6="2s",L$6=3,L$6=4),"",IF(L$48="","",IF(L$48=9,0,IF(L$49="","",IF(OR(SUMIF($C$15:$C$36,$C54,L$15:L$36)=0,L$13&gt;0),0,IF(L$38=0,"zone géo ?",SUMIF($C$15:$C$36,$C54,L$15:L$36)*L$49*IF(ISNA(VLOOKUP(CONCATENATE($C54,L$38," ",$D$39),données!$V$3:$W$74,2,0)),"",VLOOKUP(CONCATENATE($C54,L$38," ",$D$39),données!$V$3:$W$74,2,0))))))))</f>
        <v/>
      </c>
      <c r="M54" s="161" t="str">
        <f>IF(OR(M$6=1,M$6="2s",M$6=3,M$6=4),"",IF(M$48="","",IF(M$48=9,0,IF(M$49="","",IF(OR(SUMIF($C$15:$C$36,$C54,M$15:M$36)=0,M$13&gt;0),0,IF(M$38=0,"zone géo ?",SUMIF($C$15:$C$36,$C54,M$15:M$36)*M$49*IF(ISNA(VLOOKUP(CONCATENATE($C54,M$38," ",$D$39),données!$V$3:$W$74,2,0)),"",VLOOKUP(CONCATENATE($C54,M$38," ",$D$39),données!$V$3:$W$74,2,0))))))))</f>
        <v/>
      </c>
      <c r="N54" s="161" t="str">
        <f>IF(OR(N$6=1,N$6="2s",N$6=3,N$6=4),"",IF(N$48="","",IF(N$48=9,0,IF(N$49="","",IF(OR(SUMIF($C$15:$C$36,$C54,N$15:N$36)=0,N$13&gt;0),0,IF(N$38=0,"zone géo ?",SUMIF($C$15:$C$36,$C54,N$15:N$36)*N$49*IF(ISNA(VLOOKUP(CONCATENATE($C54,N$38," ",$D$39),données!$V$3:$W$74,2,0)),"",VLOOKUP(CONCATENATE($C54,N$38," ",$D$39),données!$V$3:$W$74,2,0))))))))</f>
        <v/>
      </c>
      <c r="O54" s="161" t="str">
        <f>IF(OR(O$6=1,O$6="2s",O$6=3,O$6=4),"",IF(O$48="","",IF(O$48=9,0,IF(O$49="","",IF(OR(SUMIF($C$15:$C$36,$C54,O$15:O$36)=0,O$13&gt;0),0,IF(O$38=0,"zone géo ?",SUMIF($C$15:$C$36,$C54,O$15:O$36)*O$49*IF(ISNA(VLOOKUP(CONCATENATE($C54,O$38," ",$D$39),données!$V$3:$W$74,2,0)),"",VLOOKUP(CONCATENATE($C54,O$38," ",$D$39),données!$V$3:$W$74,2,0))))))))</f>
        <v/>
      </c>
      <c r="P54" s="161" t="str">
        <f>IF(OR(P$6=1,P$6="2s",P$6=3,P$6=4),"",IF(P$48="","",IF(P$48=9,0,IF(P$49="","",IF(OR(SUMIF($C$15:$C$36,$C54,P$15:P$36)=0,P$13&gt;0),0,IF(P$38=0,"zone géo ?",SUMIF($C$15:$C$36,$C54,P$15:P$36)*P$49*IF(ISNA(VLOOKUP(CONCATENATE($C54,P$38," ",$D$39),données!$V$3:$W$74,2,0)),"",VLOOKUP(CONCATENATE($C54,P$38," ",$D$39),données!$V$3:$W$74,2,0))))))))</f>
        <v/>
      </c>
      <c r="Q54" s="161" t="str">
        <f>IF(OR(Q$6=1,Q$6="2s",Q$6=3,Q$6=4),"",IF(Q$48="","",IF(Q$48=9,0,IF(Q$49="","",IF(OR(SUMIF($C$15:$C$36,$C54,Q$15:Q$36)=0,Q$13&gt;0),0,IF(Q$38=0,"zone géo ?",SUMIF($C$15:$C$36,$C54,Q$15:Q$36)*Q$49*IF(ISNA(VLOOKUP(CONCATENATE($C54,Q$38," ",$D$39),données!$V$3:$W$74,2,0)),"",VLOOKUP(CONCATENATE($C54,Q$38," ",$D$39),données!$V$3:$W$74,2,0))))))))</f>
        <v/>
      </c>
      <c r="R54" s="161" t="str">
        <f>IF(OR(R$6=1,R$6="2s",R$6=3,R$6=4),"",IF(R$48="","",IF(R$48=9,0,IF(R$49="","",IF(OR(SUMIF($C$15:$C$36,$C54,R$15:R$36)=0,R$13&gt;0),0,IF(R$38=0,"zone géo ?",SUMIF($C$15:$C$36,$C54,R$15:R$36)*R$49*IF(ISNA(VLOOKUP(CONCATENATE($C54,R$38," ",$D$39),données!$V$3:$W$74,2,0)),"",VLOOKUP(CONCATENATE($C54,R$38," ",$D$39),données!$V$3:$W$74,2,0))))))))</f>
        <v/>
      </c>
      <c r="S54" s="161" t="str">
        <f>IF(OR(S$6=1,S$6="2s",S$6=3,S$6=4),"",IF(S$48="","",IF(S$48=9,0,IF(S$49="","",IF(OR(SUMIF($C$15:$C$36,$C54,S$15:S$36)=0,S$13&gt;0),0,IF(S$38=0,"zone géo ?",SUMIF($C$15:$C$36,$C54,S$15:S$36)*S$49*IF(ISNA(VLOOKUP(CONCATENATE($C54,S$38," ",$D$39),données!$V$3:$W$74,2,0)),"",VLOOKUP(CONCATENATE($C54,S$38," ",$D$39),données!$V$3:$W$74,2,0))))))))</f>
        <v/>
      </c>
      <c r="T54" s="161" t="str">
        <f>IF(OR(T$6=1,T$6="2s",T$6=3,T$6=4),"",IF(T$48="","",IF(T$48=9,0,IF(T$49="","",IF(OR(SUMIF($C$15:$C$36,$C54,T$15:T$36)=0,T$13&gt;0),0,IF(T$38=0,"zone géo ?",SUMIF($C$15:$C$36,$C54,T$15:T$36)*T$49*IF(ISNA(VLOOKUP(CONCATENATE($C54,T$38," ",$D$39),données!$V$3:$W$74,2,0)),"",VLOOKUP(CONCATENATE($C54,T$38," ",$D$39),données!$V$3:$W$74,2,0))))))))</f>
        <v/>
      </c>
      <c r="U54" s="161" t="str">
        <f>IF(OR(U$6=1,U$6="2s",U$6=3,U$6=4),"",IF(U$48="","",IF(U$48=9,0,IF(U$49="","",IF(OR(SUMIF($C$15:$C$36,$C54,U$15:U$36)=0,U$13&gt;0),0,IF(U$38=0,"zone géo ?",SUMIF($C$15:$C$36,$C54,U$15:U$36)*U$49*IF(ISNA(VLOOKUP(CONCATENATE($C54,U$38," ",$D$39),données!$V$3:$W$74,2,0)),"",VLOOKUP(CONCATENATE($C54,U$38," ",$D$39),données!$V$3:$W$74,2,0))))))))</f>
        <v/>
      </c>
      <c r="V54" s="161" t="str">
        <f>IF(OR(V$6=1,V$6="2s",V$6=3,V$6=4),"",IF(V$48="","",IF(V$48=9,0,IF(V$49="","",IF(OR(SUMIF($C$15:$C$36,$C54,V$15:V$36)=0,V$13&gt;0),0,IF(V$38=0,"zone géo ?",SUMIF($C$15:$C$36,$C54,V$15:V$36)*V$49*IF(ISNA(VLOOKUP(CONCATENATE($C54,V$38," ",$D$39),données!$V$3:$W$74,2,0)),"",VLOOKUP(CONCATENATE($C54,V$38," ",$D$39),données!$V$3:$W$74,2,0))))))))</f>
        <v/>
      </c>
      <c r="W54" s="161" t="str">
        <f>IF(OR(W$6=1,W$6="2s",W$6=3,W$6=4),"",IF(W$48="","",IF(W$48=9,0,IF(W$49="","",IF(OR(SUMIF($C$15:$C$36,$C54,W$15:W$36)=0,W$13&gt;0),0,IF(W$38=0,"zone géo ?",SUMIF($C$15:$C$36,$C54,W$15:W$36)*W$49*IF(ISNA(VLOOKUP(CONCATENATE($C54,W$38," ",$D$39),données!$V$3:$W$74,2,0)),"",VLOOKUP(CONCATENATE($C54,W$38," ",$D$39),données!$V$3:$W$74,2,0))))))))</f>
        <v/>
      </c>
      <c r="X54" s="161" t="str">
        <f>IF(OR(X$6=1,X$6="2s",X$6=3,X$6=4),"",IF(X$48="","",IF(X$48=9,0,IF(X$49="","",IF(OR(SUMIF($C$15:$C$36,$C54,X$15:X$36)=0,X$13&gt;0),0,IF(X$38=0,"zone géo ?",SUMIF($C$15:$C$36,$C54,X$15:X$36)*X$49*IF(ISNA(VLOOKUP(CONCATENATE($C54,X$38," ",$D$39),données!$V$3:$W$74,2,0)),"",VLOOKUP(CONCATENATE($C54,X$38," ",$D$39),données!$V$3:$W$74,2,0))))))))</f>
        <v/>
      </c>
      <c r="Y54" s="161" t="str">
        <f>IF(OR(Y$6=1,Y$6="2s",Y$6=3,Y$6=4),"",IF(Y$48="","",IF(Y$48=9,0,IF(Y$49="","",IF(OR(SUMIF($C$15:$C$36,$C54,Y$15:Y$36)=0,Y$13&gt;0),0,IF(Y$38=0,"zone géo ?",SUMIF($C$15:$C$36,$C54,Y$15:Y$36)*Y$49*IF(ISNA(VLOOKUP(CONCATENATE($C54,Y$38," ",$D$39),données!$V$3:$W$74,2,0)),"",VLOOKUP(CONCATENATE($C54,Y$38," ",$D$39),données!$V$3:$W$74,2,0))))))))</f>
        <v/>
      </c>
      <c r="Z54" s="161" t="str">
        <f>IF(OR(Z$6=1,Z$6="2s",Z$6=3,Z$6=4),"",IF(Z$48="","",IF(Z$48=9,0,IF(Z$49="","",IF(OR(SUMIF($C$15:$C$36,$C54,Z$15:Z$36)=0,Z$13&gt;0),0,IF(Z$38=0,"zone géo ?",SUMIF($C$15:$C$36,$C54,Z$15:Z$36)*Z$49*IF(ISNA(VLOOKUP(CONCATENATE($C54,Z$38," ",$D$39),données!$V$3:$W$74,2,0)),"",VLOOKUP(CONCATENATE($C54,Z$38," ",$D$39),données!$V$3:$W$74,2,0))))))))</f>
        <v/>
      </c>
      <c r="AA54" s="246">
        <f t="shared" si="32"/>
        <v>0</v>
      </c>
      <c r="AB54" s="233"/>
      <c r="AC54" s="320"/>
      <c r="AD54" s="234"/>
    </row>
    <row r="55" spans="1:30">
      <c r="A55" s="496"/>
      <c r="B55" s="595"/>
      <c r="C55" s="228" t="s">
        <v>45</v>
      </c>
      <c r="D55" s="161" t="str">
        <f>IF(OR(D$6=1,D$6="2s",D$6=3,D$6=4),"",IF(D$48="","",IF(D$48=9,0,IF(D$49="","",IF(OR(SUMIF($C$15:$C$36,$C55,D$15:D$36)=0,D$13&gt;0),0,IF(D$38=0,"zone géo ?",SUMIF($C$15:$C$36,$C55,D$15:D$36)*D$49*IF(ISNA(VLOOKUP(CONCATENATE($C55,D$38," ",$D$39),données!$V$3:$W$74,2,0)),"",VLOOKUP(CONCATENATE($C55,D$38," ",$D$39),données!$V$3:$W$74,2,0))))))))</f>
        <v/>
      </c>
      <c r="E55" s="161" t="str">
        <f>IF(OR(E$6=1,E$6="2s",E$6=3,E$6=4),"",IF(E$48="","",IF(E$48=9,0,IF(E$49="","",IF(OR(SUMIF($C$15:$C$36,$C55,E$15:E$36)=0,E$13&gt;0),0,IF(E$38=0,"zone géo ?",SUMIF($C$15:$C$36,$C55,E$15:E$36)*E$49*IF(ISNA(VLOOKUP(CONCATENATE($C55,E$38," ",$D$39),données!$V$3:$W$74,2,0)),"",VLOOKUP(CONCATENATE($C55,E$38," ",$D$39),données!$V$3:$W$74,2,0))))))))</f>
        <v/>
      </c>
      <c r="F55" s="161" t="str">
        <f>IF(OR(F$6=1,F$6="2s",F$6=3,F$6=4),"",IF(F$48="","",IF(F$48=9,0,IF(F$49="","",IF(OR(SUMIF($C$15:$C$36,$C55,F$15:F$36)=0,F$13&gt;0),0,IF(F$38=0,"zone géo ?",SUMIF($C$15:$C$36,$C55,F$15:F$36)*F$49*IF(ISNA(VLOOKUP(CONCATENATE($C55,F$38," ",$D$39),données!$V$3:$W$74,2,0)),"",VLOOKUP(CONCATENATE($C55,F$38," ",$D$39),données!$V$3:$W$74,2,0))))))))</f>
        <v/>
      </c>
      <c r="G55" s="161" t="str">
        <f>IF(OR(G$6=1,G$6="2s",G$6=3,G$6=4),"",IF(G$48="","",IF(G$48=9,0,IF(G$49="","",IF(OR(SUMIF($C$15:$C$36,$C55,G$15:G$36)=0,G$13&gt;0),0,IF(G$38=0,"zone géo ?",SUMIF($C$15:$C$36,$C55,G$15:G$36)*G$49*IF(ISNA(VLOOKUP(CONCATENATE($C55,G$38," ",$D$39),données!$V$3:$W$74,2,0)),"",VLOOKUP(CONCATENATE($C55,G$38," ",$D$39),données!$V$3:$W$74,2,0))))))))</f>
        <v/>
      </c>
      <c r="H55" s="161" t="str">
        <f>IF(OR(H$6=1,H$6="2s",H$6=3,H$6=4),"",IF(H$48="","",IF(H$48=9,0,IF(H$49="","",IF(OR(SUMIF($C$15:$C$36,$C55,H$15:H$36)=0,H$13&gt;0),0,IF(H$38=0,"zone géo ?",SUMIF($C$15:$C$36,$C55,H$15:H$36)*H$49*IF(ISNA(VLOOKUP(CONCATENATE($C55,H$38," ",$D$39),données!$V$3:$W$74,2,0)),"",VLOOKUP(CONCATENATE($C55,H$38," ",$D$39),données!$V$3:$W$74,2,0))))))))</f>
        <v/>
      </c>
      <c r="I55" s="161" t="str">
        <f>IF(OR(I$6=1,I$6="2s",I$6=3,I$6=4),"",IF(I$48="","",IF(I$48=9,0,IF(I$49="","",IF(OR(SUMIF($C$15:$C$36,$C55,I$15:I$36)=0,I$13&gt;0),0,IF(I$38=0,"zone géo ?",SUMIF($C$15:$C$36,$C55,I$15:I$36)*I$49*IF(ISNA(VLOOKUP(CONCATENATE($C55,I$38," ",$D$39),données!$V$3:$W$74,2,0)),"",VLOOKUP(CONCATENATE($C55,I$38," ",$D$39),données!$V$3:$W$74,2,0))))))))</f>
        <v/>
      </c>
      <c r="J55" s="161" t="str">
        <f>IF(OR(J$6=1,J$6="2s",J$6=3,J$6=4),"",IF(J$48="","",IF(J$48=9,0,IF(J$49="","",IF(OR(SUMIF($C$15:$C$36,$C55,J$15:J$36)=0,J$13&gt;0),0,IF(J$38=0,"zone géo ?",SUMIF($C$15:$C$36,$C55,J$15:J$36)*J$49*IF(ISNA(VLOOKUP(CONCATENATE($C55,J$38," ",$D$39),données!$V$3:$W$74,2,0)),"",VLOOKUP(CONCATENATE($C55,J$38," ",$D$39),données!$V$3:$W$74,2,0))))))))</f>
        <v/>
      </c>
      <c r="K55" s="161" t="str">
        <f>IF(OR(K$6=1,K$6="2s",K$6=3,K$6=4),"",IF(K$48="","",IF(K$48=9,0,IF(K$49="","",IF(OR(SUMIF($C$15:$C$36,$C55,K$15:K$36)=0,K$13&gt;0),0,IF(K$38=0,"zone géo ?",SUMIF($C$15:$C$36,$C55,K$15:K$36)*K$49*IF(ISNA(VLOOKUP(CONCATENATE($C55,K$38," ",$D$39),données!$V$3:$W$74,2,0)),"",VLOOKUP(CONCATENATE($C55,K$38," ",$D$39),données!$V$3:$W$74,2,0))))))))</f>
        <v/>
      </c>
      <c r="L55" s="161" t="str">
        <f>IF(OR(L$6=1,L$6="2s",L$6=3,L$6=4),"",IF(L$48="","",IF(L$48=9,0,IF(L$49="","",IF(OR(SUMIF($C$15:$C$36,$C55,L$15:L$36)=0,L$13&gt;0),0,IF(L$38=0,"zone géo ?",SUMIF($C$15:$C$36,$C55,L$15:L$36)*L$49*IF(ISNA(VLOOKUP(CONCATENATE($C55,L$38," ",$D$39),données!$V$3:$W$74,2,0)),"",VLOOKUP(CONCATENATE($C55,L$38," ",$D$39),données!$V$3:$W$74,2,0))))))))</f>
        <v/>
      </c>
      <c r="M55" s="161" t="str">
        <f>IF(OR(M$6=1,M$6="2s",M$6=3,M$6=4),"",IF(M$48="","",IF(M$48=9,0,IF(M$49="","",IF(OR(SUMIF($C$15:$C$36,$C55,M$15:M$36)=0,M$13&gt;0),0,IF(M$38=0,"zone géo ?",SUMIF($C$15:$C$36,$C55,M$15:M$36)*M$49*IF(ISNA(VLOOKUP(CONCATENATE($C55,M$38," ",$D$39),données!$V$3:$W$74,2,0)),"",VLOOKUP(CONCATENATE($C55,M$38," ",$D$39),données!$V$3:$W$74,2,0))))))))</f>
        <v/>
      </c>
      <c r="N55" s="161" t="str">
        <f>IF(OR(N$6=1,N$6="2s",N$6=3,N$6=4),"",IF(N$48="","",IF(N$48=9,0,IF(N$49="","",IF(OR(SUMIF($C$15:$C$36,$C55,N$15:N$36)=0,N$13&gt;0),0,IF(N$38=0,"zone géo ?",SUMIF($C$15:$C$36,$C55,N$15:N$36)*N$49*IF(ISNA(VLOOKUP(CONCATENATE($C55,N$38," ",$D$39),données!$V$3:$W$74,2,0)),"",VLOOKUP(CONCATENATE($C55,N$38," ",$D$39),données!$V$3:$W$74,2,0))))))))</f>
        <v/>
      </c>
      <c r="O55" s="161" t="str">
        <f>IF(OR(O$6=1,O$6="2s",O$6=3,O$6=4),"",IF(O$48="","",IF(O$48=9,0,IF(O$49="","",IF(OR(SUMIF($C$15:$C$36,$C55,O$15:O$36)=0,O$13&gt;0),0,IF(O$38=0,"zone géo ?",SUMIF($C$15:$C$36,$C55,O$15:O$36)*O$49*IF(ISNA(VLOOKUP(CONCATENATE($C55,O$38," ",$D$39),données!$V$3:$W$74,2,0)),"",VLOOKUP(CONCATENATE($C55,O$38," ",$D$39),données!$V$3:$W$74,2,0))))))))</f>
        <v/>
      </c>
      <c r="P55" s="161" t="str">
        <f>IF(OR(P$6=1,P$6="2s",P$6=3,P$6=4),"",IF(P$48="","",IF(P$48=9,0,IF(P$49="","",IF(OR(SUMIF($C$15:$C$36,$C55,P$15:P$36)=0,P$13&gt;0),0,IF(P$38=0,"zone géo ?",SUMIF($C$15:$C$36,$C55,P$15:P$36)*P$49*IF(ISNA(VLOOKUP(CONCATENATE($C55,P$38," ",$D$39),données!$V$3:$W$74,2,0)),"",VLOOKUP(CONCATENATE($C55,P$38," ",$D$39),données!$V$3:$W$74,2,0))))))))</f>
        <v/>
      </c>
      <c r="Q55" s="161" t="str">
        <f>IF(OR(Q$6=1,Q$6="2s",Q$6=3,Q$6=4),"",IF(Q$48="","",IF(Q$48=9,0,IF(Q$49="","",IF(OR(SUMIF($C$15:$C$36,$C55,Q$15:Q$36)=0,Q$13&gt;0),0,IF(Q$38=0,"zone géo ?",SUMIF($C$15:$C$36,$C55,Q$15:Q$36)*Q$49*IF(ISNA(VLOOKUP(CONCATENATE($C55,Q$38," ",$D$39),données!$V$3:$W$74,2,0)),"",VLOOKUP(CONCATENATE($C55,Q$38," ",$D$39),données!$V$3:$W$74,2,0))))))))</f>
        <v/>
      </c>
      <c r="R55" s="161" t="str">
        <f>IF(OR(R$6=1,R$6="2s",R$6=3,R$6=4),"",IF(R$48="","",IF(R$48=9,0,IF(R$49="","",IF(OR(SUMIF($C$15:$C$36,$C55,R$15:R$36)=0,R$13&gt;0),0,IF(R$38=0,"zone géo ?",SUMIF($C$15:$C$36,$C55,R$15:R$36)*R$49*IF(ISNA(VLOOKUP(CONCATENATE($C55,R$38," ",$D$39),données!$V$3:$W$74,2,0)),"",VLOOKUP(CONCATENATE($C55,R$38," ",$D$39),données!$V$3:$W$74,2,0))))))))</f>
        <v/>
      </c>
      <c r="S55" s="161" t="str">
        <f>IF(OR(S$6=1,S$6="2s",S$6=3,S$6=4),"",IF(S$48="","",IF(S$48=9,0,IF(S$49="","",IF(OR(SUMIF($C$15:$C$36,$C55,S$15:S$36)=0,S$13&gt;0),0,IF(S$38=0,"zone géo ?",SUMIF($C$15:$C$36,$C55,S$15:S$36)*S$49*IF(ISNA(VLOOKUP(CONCATENATE($C55,S$38," ",$D$39),données!$V$3:$W$74,2,0)),"",VLOOKUP(CONCATENATE($C55,S$38," ",$D$39),données!$V$3:$W$74,2,0))))))))</f>
        <v/>
      </c>
      <c r="T55" s="161" t="str">
        <f>IF(OR(T$6=1,T$6="2s",T$6=3,T$6=4),"",IF(T$48="","",IF(T$48=9,0,IF(T$49="","",IF(OR(SUMIF($C$15:$C$36,$C55,T$15:T$36)=0,T$13&gt;0),0,IF(T$38=0,"zone géo ?",SUMIF($C$15:$C$36,$C55,T$15:T$36)*T$49*IF(ISNA(VLOOKUP(CONCATENATE($C55,T$38," ",$D$39),données!$V$3:$W$74,2,0)),"",VLOOKUP(CONCATENATE($C55,T$38," ",$D$39),données!$V$3:$W$74,2,0))))))))</f>
        <v/>
      </c>
      <c r="U55" s="161" t="str">
        <f>IF(OR(U$6=1,U$6="2s",U$6=3,U$6=4),"",IF(U$48="","",IF(U$48=9,0,IF(U$49="","",IF(OR(SUMIF($C$15:$C$36,$C55,U$15:U$36)=0,U$13&gt;0),0,IF(U$38=0,"zone géo ?",SUMIF($C$15:$C$36,$C55,U$15:U$36)*U$49*IF(ISNA(VLOOKUP(CONCATENATE($C55,U$38," ",$D$39),données!$V$3:$W$74,2,0)),"",VLOOKUP(CONCATENATE($C55,U$38," ",$D$39),données!$V$3:$W$74,2,0))))))))</f>
        <v/>
      </c>
      <c r="V55" s="161" t="str">
        <f>IF(OR(V$6=1,V$6="2s",V$6=3,V$6=4),"",IF(V$48="","",IF(V$48=9,0,IF(V$49="","",IF(OR(SUMIF($C$15:$C$36,$C55,V$15:V$36)=0,V$13&gt;0),0,IF(V$38=0,"zone géo ?",SUMIF($C$15:$C$36,$C55,V$15:V$36)*V$49*IF(ISNA(VLOOKUP(CONCATENATE($C55,V$38," ",$D$39),données!$V$3:$W$74,2,0)),"",VLOOKUP(CONCATENATE($C55,V$38," ",$D$39),données!$V$3:$W$74,2,0))))))))</f>
        <v/>
      </c>
      <c r="W55" s="161" t="str">
        <f>IF(OR(W$6=1,W$6="2s",W$6=3,W$6=4),"",IF(W$48="","",IF(W$48=9,0,IF(W$49="","",IF(OR(SUMIF($C$15:$C$36,$C55,W$15:W$36)=0,W$13&gt;0),0,IF(W$38=0,"zone géo ?",SUMIF($C$15:$C$36,$C55,W$15:W$36)*W$49*IF(ISNA(VLOOKUP(CONCATENATE($C55,W$38," ",$D$39),données!$V$3:$W$74,2,0)),"",VLOOKUP(CONCATENATE($C55,W$38," ",$D$39),données!$V$3:$W$74,2,0))))))))</f>
        <v/>
      </c>
      <c r="X55" s="161" t="str">
        <f>IF(OR(X$6=1,X$6="2s",X$6=3,X$6=4),"",IF(X$48="","",IF(X$48=9,0,IF(X$49="","",IF(OR(SUMIF($C$15:$C$36,$C55,X$15:X$36)=0,X$13&gt;0),0,IF(X$38=0,"zone géo ?",SUMIF($C$15:$C$36,$C55,X$15:X$36)*X$49*IF(ISNA(VLOOKUP(CONCATENATE($C55,X$38," ",$D$39),données!$V$3:$W$74,2,0)),"",VLOOKUP(CONCATENATE($C55,X$38," ",$D$39),données!$V$3:$W$74,2,0))))))))</f>
        <v/>
      </c>
      <c r="Y55" s="161" t="str">
        <f>IF(OR(Y$6=1,Y$6="2s",Y$6=3,Y$6=4),"",IF(Y$48="","",IF(Y$48=9,0,IF(Y$49="","",IF(OR(SUMIF($C$15:$C$36,$C55,Y$15:Y$36)=0,Y$13&gt;0),0,IF(Y$38=0,"zone géo ?",SUMIF($C$15:$C$36,$C55,Y$15:Y$36)*Y$49*IF(ISNA(VLOOKUP(CONCATENATE($C55,Y$38," ",$D$39),données!$V$3:$W$74,2,0)),"",VLOOKUP(CONCATENATE($C55,Y$38," ",$D$39),données!$V$3:$W$74,2,0))))))))</f>
        <v/>
      </c>
      <c r="Z55" s="161" t="str">
        <f>IF(OR(Z$6=1,Z$6="2s",Z$6=3,Z$6=4),"",IF(Z$48="","",IF(Z$48=9,0,IF(Z$49="","",IF(OR(SUMIF($C$15:$C$36,$C55,Z$15:Z$36)=0,Z$13&gt;0),0,IF(Z$38=0,"zone géo ?",SUMIF($C$15:$C$36,$C55,Z$15:Z$36)*Z$49*IF(ISNA(VLOOKUP(CONCATENATE($C55,Z$38," ",$D$39),données!$V$3:$W$74,2,0)),"",VLOOKUP(CONCATENATE($C55,Z$38," ",$D$39),données!$V$3:$W$74,2,0))))))))</f>
        <v/>
      </c>
      <c r="AA55" s="246">
        <f t="shared" si="32"/>
        <v>0</v>
      </c>
      <c r="AB55" s="231"/>
      <c r="AC55" s="319"/>
      <c r="AD55" s="232"/>
    </row>
    <row r="56" spans="1:30" ht="16" customHeight="1">
      <c r="A56" s="622" t="s">
        <v>285</v>
      </c>
      <c r="B56" s="595" t="s">
        <v>365</v>
      </c>
      <c r="C56" s="229" t="s">
        <v>35</v>
      </c>
      <c r="D56" s="161" t="str">
        <f>IF(OR(D$6=1,D$6="2s",D$6=3,D$6=4),"",IF(D$48="","",IF(D$48=16,0,IF(D$49="","",IF(OR(SUMIF($C$15:$C$36,$C56,D$15:D$36)=0,D$13&gt;0),0,IF(D$38=0,"zone géo ?",SUMIF($C$15:$C$36,$C56,D$15:D$36)*D$49*IF(ISNA(VLOOKUP(CONCATENATE($C56,D$38," ",$D$39),données!$AJ$3:$AK$74,2,0)),"",VLOOKUP(CONCATENATE($C56,D$38," ",$D$39),données!$AJ$3:$AK$74,2,0))))))))</f>
        <v/>
      </c>
      <c r="E56" s="161" t="str">
        <f>IF(OR(E$6=1,E$6="2s",E$6=3,E$6=4),"",IF(E$48="","",IF(E$48=16,0,IF(E$49="","",IF(OR(SUMIF($C$15:$C$36,$C56,E$15:E$36)=0,E$13&gt;0),0,IF(E$38=0,"zone géo ?",SUMIF($C$15:$C$36,$C56,E$15:E$36)*E$49*IF(ISNA(VLOOKUP(CONCATENATE($C56,E$38," ",$D$39),données!$AJ$3:$AK$74,2,0)),"",VLOOKUP(CONCATENATE($C56,E$38," ",$D$39),données!$AJ$3:$AK$74,2,0))))))))</f>
        <v/>
      </c>
      <c r="F56" s="161" t="str">
        <f>IF(OR(F$6=1,F$6="2s",F$6=3,F$6=4),"",IF(F$48="","",IF(F$48=16,0,IF(F$49="","",IF(OR(SUMIF($C$15:$C$36,$C56,F$15:F$36)=0,F$13&gt;0),0,IF(F$38=0,"zone géo ?",SUMIF($C$15:$C$36,$C56,F$15:F$36)*F$49*IF(ISNA(VLOOKUP(CONCATENATE($C56,F$38," ",$D$39),données!$AJ$3:$AK$74,2,0)),"",VLOOKUP(CONCATENATE($C56,F$38," ",$D$39),données!$AJ$3:$AK$74,2,0))))))))</f>
        <v/>
      </c>
      <c r="G56" s="161" t="str">
        <f>IF(OR(G$6=1,G$6="2s",G$6=3,G$6=4),"",IF(G$48="","",IF(G$48=16,0,IF(G$49="","",IF(OR(SUMIF($C$15:$C$36,$C56,G$15:G$36)=0,G$13&gt;0),0,IF(G$38=0,"zone géo ?",SUMIF($C$15:$C$36,$C56,G$15:G$36)*G$49*IF(ISNA(VLOOKUP(CONCATENATE($C56,G$38," ",$D$39),données!$AJ$3:$AK$74,2,0)),"",VLOOKUP(CONCATENATE($C56,G$38," ",$D$39),données!$AJ$3:$AK$74,2,0))))))))</f>
        <v/>
      </c>
      <c r="H56" s="161" t="str">
        <f>IF(OR(H$6=1,H$6="2s",H$6=3,H$6=4),"",IF(H$48="","",IF(H$48=16,0,IF(H$49="","",IF(OR(SUMIF($C$15:$C$36,$C56,H$15:H$36)=0,H$13&gt;0),0,IF(H$38=0,"zone géo ?",SUMIF($C$15:$C$36,$C56,H$15:H$36)*H$49*IF(ISNA(VLOOKUP(CONCATENATE($C56,H$38," ",$D$39),données!$AJ$3:$AK$74,2,0)),"",VLOOKUP(CONCATENATE($C56,H$38," ",$D$39),données!$AJ$3:$AK$74,2,0))))))))</f>
        <v/>
      </c>
      <c r="I56" s="161" t="str">
        <f>IF(OR(I$6=1,I$6="2s",I$6=3,I$6=4),"",IF(I$48="","",IF(I$48=16,0,IF(I$49="","",IF(OR(SUMIF($C$15:$C$36,$C56,I$15:I$36)=0,I$13&gt;0),0,IF(I$38=0,"zone géo ?",SUMIF($C$15:$C$36,$C56,I$15:I$36)*I$49*IF(ISNA(VLOOKUP(CONCATENATE($C56,I$38," ",$D$39),données!$AJ$3:$AK$74,2,0)),"",VLOOKUP(CONCATENATE($C56,I$38," ",$D$39),données!$AJ$3:$AK$74,2,0))))))))</f>
        <v/>
      </c>
      <c r="J56" s="161" t="str">
        <f>IF(OR(J$6=1,J$6="2s",J$6=3,J$6=4),"",IF(J$48="","",IF(J$48=16,0,IF(J$49="","",IF(OR(SUMIF($C$15:$C$36,$C56,J$15:J$36)=0,J$13&gt;0),0,IF(J$38=0,"zone géo ?",SUMIF($C$15:$C$36,$C56,J$15:J$36)*J$49*IF(ISNA(VLOOKUP(CONCATENATE($C56,J$38," ",$D$39),données!$AJ$3:$AK$74,2,0)),"",VLOOKUP(CONCATENATE($C56,J$38," ",$D$39),données!$AJ$3:$AK$74,2,0))))))))</f>
        <v/>
      </c>
      <c r="K56" s="161" t="str">
        <f>IF(OR(K$6=1,K$6="2s",K$6=3,K$6=4),"",IF(K$48="","",IF(K$48=16,0,IF(K$49="","",IF(OR(SUMIF($C$15:$C$36,$C56,K$15:K$36)=0,K$13&gt;0),0,IF(K$38=0,"zone géo ?",SUMIF($C$15:$C$36,$C56,K$15:K$36)*K$49*IF(ISNA(VLOOKUP(CONCATENATE($C56,K$38," ",$D$39),données!$AJ$3:$AK$74,2,0)),"",VLOOKUP(CONCATENATE($C56,K$38," ",$D$39),données!$AJ$3:$AK$74,2,0))))))))</f>
        <v/>
      </c>
      <c r="L56" s="161" t="str">
        <f>IF(OR(L$6=1,L$6="2s",L$6=3,L$6=4),"",IF(L$48="","",IF(L$48=16,0,IF(L$49="","",IF(OR(SUMIF($C$15:$C$36,$C56,L$15:L$36)=0,L$13&gt;0),0,IF(L$38=0,"zone géo ?",SUMIF($C$15:$C$36,$C56,L$15:L$36)*L$49*IF(ISNA(VLOOKUP(CONCATENATE($C56,L$38," ",$D$39),données!$AJ$3:$AK$74,2,0)),"",VLOOKUP(CONCATENATE($C56,L$38," ",$D$39),données!$AJ$3:$AK$74,2,0))))))))</f>
        <v/>
      </c>
      <c r="M56" s="161" t="str">
        <f>IF(OR(M$6=1,M$6="2s",M$6=3,M$6=4),"",IF(M$48="","",IF(M$48=16,0,IF(M$49="","",IF(OR(SUMIF($C$15:$C$36,$C56,M$15:M$36)=0,M$13&gt;0),0,IF(M$38=0,"zone géo ?",SUMIF($C$15:$C$36,$C56,M$15:M$36)*M$49*IF(ISNA(VLOOKUP(CONCATENATE($C56,M$38," ",$D$39),données!$AJ$3:$AK$74,2,0)),"",VLOOKUP(CONCATENATE($C56,M$38," ",$D$39),données!$AJ$3:$AK$74,2,0))))))))</f>
        <v/>
      </c>
      <c r="N56" s="161" t="str">
        <f>IF(OR(N$6=1,N$6="2s",N$6=3,N$6=4),"",IF(N$48="","",IF(N$48=16,0,IF(N$49="","",IF(OR(SUMIF($C$15:$C$36,$C56,N$15:N$36)=0,N$13&gt;0),0,IF(N$38=0,"zone géo ?",SUMIF($C$15:$C$36,$C56,N$15:N$36)*N$49*IF(ISNA(VLOOKUP(CONCATENATE($C56,N$38," ",$D$39),données!$AJ$3:$AK$74,2,0)),"",VLOOKUP(CONCATENATE($C56,N$38," ",$D$39),données!$AJ$3:$AK$74,2,0))))))))</f>
        <v/>
      </c>
      <c r="O56" s="161" t="str">
        <f>IF(OR(O$6=1,O$6="2s",O$6=3,O$6=4),"",IF(O$48="","",IF(O$48=16,0,IF(O$49="","",IF(OR(SUMIF($C$15:$C$36,$C56,O$15:O$36)=0,O$13&gt;0),0,IF(O$38=0,"zone géo ?",SUMIF($C$15:$C$36,$C56,O$15:O$36)*O$49*IF(ISNA(VLOOKUP(CONCATENATE($C56,O$38," ",$D$39),données!$AJ$3:$AK$74,2,0)),"",VLOOKUP(CONCATENATE($C56,O$38," ",$D$39),données!$AJ$3:$AK$74,2,0))))))))</f>
        <v/>
      </c>
      <c r="P56" s="161" t="str">
        <f>IF(OR(P$6=1,P$6="2s",P$6=3,P$6=4),"",IF(P$48="","",IF(P$48=16,0,IF(P$49="","",IF(OR(SUMIF($C$15:$C$36,$C56,P$15:P$36)=0,P$13&gt;0),0,IF(P$38=0,"zone géo ?",SUMIF($C$15:$C$36,$C56,P$15:P$36)*P$49*IF(ISNA(VLOOKUP(CONCATENATE($C56,P$38," ",$D$39),données!$AJ$3:$AK$74,2,0)),"",VLOOKUP(CONCATENATE($C56,P$38," ",$D$39),données!$AJ$3:$AK$74,2,0))))))))</f>
        <v/>
      </c>
      <c r="Q56" s="161" t="str">
        <f>IF(OR(Q$6=1,Q$6="2s",Q$6=3,Q$6=4),"",IF(Q$48="","",IF(Q$48=16,0,IF(Q$49="","",IF(OR(SUMIF($C$15:$C$36,$C56,Q$15:Q$36)=0,Q$13&gt;0),0,IF(Q$38=0,"zone géo ?",SUMIF($C$15:$C$36,$C56,Q$15:Q$36)*Q$49*IF(ISNA(VLOOKUP(CONCATENATE($C56,Q$38," ",$D$39),données!$AJ$3:$AK$74,2,0)),"",VLOOKUP(CONCATENATE($C56,Q$38," ",$D$39),données!$AJ$3:$AK$74,2,0))))))))</f>
        <v/>
      </c>
      <c r="R56" s="161" t="str">
        <f>IF(OR(R$6=1,R$6="2s",R$6=3,R$6=4),"",IF(R$48="","",IF(R$48=16,0,IF(R$49="","",IF(OR(SUMIF($C$15:$C$36,$C56,R$15:R$36)=0,R$13&gt;0),0,IF(R$38=0,"zone géo ?",SUMIF($C$15:$C$36,$C56,R$15:R$36)*R$49*IF(ISNA(VLOOKUP(CONCATENATE($C56,R$38," ",$D$39),données!$AJ$3:$AK$74,2,0)),"",VLOOKUP(CONCATENATE($C56,R$38," ",$D$39),données!$AJ$3:$AK$74,2,0))))))))</f>
        <v/>
      </c>
      <c r="S56" s="161" t="str">
        <f>IF(OR(S$6=1,S$6="2s",S$6=3,S$6=4),"",IF(S$48="","",IF(S$48=16,0,IF(S$49="","",IF(OR(SUMIF($C$15:$C$36,$C56,S$15:S$36)=0,S$13&gt;0),0,IF(S$38=0,"zone géo ?",SUMIF($C$15:$C$36,$C56,S$15:S$36)*S$49*IF(ISNA(VLOOKUP(CONCATENATE($C56,S$38," ",$D$39),données!$AJ$3:$AK$74,2,0)),"",VLOOKUP(CONCATENATE($C56,S$38," ",$D$39),données!$AJ$3:$AK$74,2,0))))))))</f>
        <v/>
      </c>
      <c r="T56" s="161" t="str">
        <f>IF(OR(T$6=1,T$6="2s",T$6=3,T$6=4),"",IF(T$48="","",IF(T$48=16,0,IF(T$49="","",IF(OR(SUMIF($C$15:$C$36,$C56,T$15:T$36)=0,T$13&gt;0),0,IF(T$38=0,"zone géo ?",SUMIF($C$15:$C$36,$C56,T$15:T$36)*T$49*IF(ISNA(VLOOKUP(CONCATENATE($C56,T$38," ",$D$39),données!$AJ$3:$AK$74,2,0)),"",VLOOKUP(CONCATENATE($C56,T$38," ",$D$39),données!$AJ$3:$AK$74,2,0))))))))</f>
        <v/>
      </c>
      <c r="U56" s="161" t="str">
        <f>IF(OR(U$6=1,U$6="2s",U$6=3,U$6=4),"",IF(U$48="","",IF(U$48=16,0,IF(U$49="","",IF(OR(SUMIF($C$15:$C$36,$C56,U$15:U$36)=0,U$13&gt;0),0,IF(U$38=0,"zone géo ?",SUMIF($C$15:$C$36,$C56,U$15:U$36)*U$49*IF(ISNA(VLOOKUP(CONCATENATE($C56,U$38," ",$D$39),données!$AJ$3:$AK$74,2,0)),"",VLOOKUP(CONCATENATE($C56,U$38," ",$D$39),données!$AJ$3:$AK$74,2,0))))))))</f>
        <v/>
      </c>
      <c r="V56" s="161" t="str">
        <f>IF(OR(V$6=1,V$6="2s",V$6=3,V$6=4),"",IF(V$48="","",IF(V$48=16,0,IF(V$49="","",IF(OR(SUMIF($C$15:$C$36,$C56,V$15:V$36)=0,V$13&gt;0),0,IF(V$38=0,"zone géo ?",SUMIF($C$15:$C$36,$C56,V$15:V$36)*V$49*IF(ISNA(VLOOKUP(CONCATENATE($C56,V$38," ",$D$39),données!$AJ$3:$AK$74,2,0)),"",VLOOKUP(CONCATENATE($C56,V$38," ",$D$39),données!$AJ$3:$AK$74,2,0))))))))</f>
        <v/>
      </c>
      <c r="W56" s="161" t="str">
        <f>IF(OR(W$6=1,W$6="2s",W$6=3,W$6=4),"",IF(W$48="","",IF(W$48=16,0,IF(W$49="","",IF(OR(SUMIF($C$15:$C$36,$C56,W$15:W$36)=0,W$13&gt;0),0,IF(W$38=0,"zone géo ?",SUMIF($C$15:$C$36,$C56,W$15:W$36)*W$49*IF(ISNA(VLOOKUP(CONCATENATE($C56,W$38," ",$D$39),données!$AJ$3:$AK$74,2,0)),"",VLOOKUP(CONCATENATE($C56,W$38," ",$D$39),données!$AJ$3:$AK$74,2,0))))))))</f>
        <v/>
      </c>
      <c r="X56" s="161" t="str">
        <f>IF(OR(X$6=1,X$6="2s",X$6=3,X$6=4),"",IF(X$48="","",IF(X$48=16,0,IF(X$49="","",IF(OR(SUMIF($C$15:$C$36,$C56,X$15:X$36)=0,X$13&gt;0),0,IF(X$38=0,"zone géo ?",SUMIF($C$15:$C$36,$C56,X$15:X$36)*X$49*IF(ISNA(VLOOKUP(CONCATENATE($C56,X$38," ",$D$39),données!$AJ$3:$AK$74,2,0)),"",VLOOKUP(CONCATENATE($C56,X$38," ",$D$39),données!$AJ$3:$AK$74,2,0))))))))</f>
        <v/>
      </c>
      <c r="Y56" s="161" t="str">
        <f>IF(OR(Y$6=1,Y$6="2s",Y$6=3,Y$6=4),"",IF(Y$48="","",IF(Y$48=16,0,IF(Y$49="","",IF(OR(SUMIF($C$15:$C$36,$C56,Y$15:Y$36)=0,Y$13&gt;0),0,IF(Y$38=0,"zone géo ?",SUMIF($C$15:$C$36,$C56,Y$15:Y$36)*Y$49*IF(ISNA(VLOOKUP(CONCATENATE($C56,Y$38," ",$D$39),données!$AJ$3:$AK$74,2,0)),"",VLOOKUP(CONCATENATE($C56,Y$38," ",$D$39),données!$AJ$3:$AK$74,2,0))))))))</f>
        <v/>
      </c>
      <c r="Z56" s="161" t="str">
        <f>IF(OR(Z$6=1,Z$6="2s",Z$6=3,Z$6=4),"",IF(Z$48="","",IF(Z$48=16,0,IF(Z$49="","",IF(OR(SUMIF($C$15:$C$36,$C56,Z$15:Z$36)=0,Z$13&gt;0),0,IF(Z$38=0,"zone géo ?",SUMIF($C$15:$C$36,$C56,Z$15:Z$36)*Z$49*IF(ISNA(VLOOKUP(CONCATENATE($C56,Z$38," ",$D$39),données!$AJ$3:$AK$74,2,0)),"",VLOOKUP(CONCATENATE($C56,Z$38," ",$D$39),données!$AJ$3:$AK$74,2,0))))))))</f>
        <v/>
      </c>
      <c r="AA56" s="246">
        <f t="shared" si="32"/>
        <v>0</v>
      </c>
      <c r="AB56" s="233"/>
      <c r="AC56" s="320"/>
      <c r="AD56" s="234"/>
    </row>
    <row r="57" spans="1:30">
      <c r="A57" s="622"/>
      <c r="B57" s="595"/>
      <c r="C57" s="230" t="s">
        <v>37</v>
      </c>
      <c r="D57" s="161" t="str">
        <f>IF(OR(D$6=1,D$6="2s",D$6=3,D$6=4),"",IF(D$48="","",IF(D$48=16,0,IF(D$49="","",IF(OR(SUMIF($C$15:$C$36,$C57,D$15:D$36)=0,D$13&gt;0),0,IF(D$38=0,"zone géo ?",SUMIF($C$15:$C$36,$C57,D$15:D$36)*D$49*IF(ISNA(VLOOKUP(CONCATENATE($C57,D$38," ",$D$39),données!$AJ$3:$AK$74,2,0)),"",VLOOKUP(CONCATENATE($C57,D$38," ",$D$39),données!$AJ$3:$AK$74,2,0))))))))</f>
        <v/>
      </c>
      <c r="E57" s="161" t="str">
        <f>IF(OR(E$6=1,E$6="2s",E$6=3,E$6=4),"",IF(E$48="","",IF(E$48=16,0,IF(E$49="","",IF(OR(SUMIF($C$15:$C$36,$C57,E$15:E$36)=0,E$13&gt;0),0,IF(E$38=0,"zone géo ?",SUMIF($C$15:$C$36,$C57,E$15:E$36)*E$49*IF(ISNA(VLOOKUP(CONCATENATE($C57,E$38," ",$D$39),données!$AJ$3:$AK$74,2,0)),"",VLOOKUP(CONCATENATE($C57,E$38," ",$D$39),données!$AJ$3:$AK$74,2,0))))))))</f>
        <v/>
      </c>
      <c r="F57" s="161" t="str">
        <f>IF(OR(F$6=1,F$6="2s",F$6=3,F$6=4),"",IF(F$48="","",IF(F$48=16,0,IF(F$49="","",IF(OR(SUMIF($C$15:$C$36,$C57,F$15:F$36)=0,F$13&gt;0),0,IF(F$38=0,"zone géo ?",SUMIF($C$15:$C$36,$C57,F$15:F$36)*F$49*IF(ISNA(VLOOKUP(CONCATENATE($C57,F$38," ",$D$39),données!$AJ$3:$AK$74,2,0)),"",VLOOKUP(CONCATENATE($C57,F$38," ",$D$39),données!$AJ$3:$AK$74,2,0))))))))</f>
        <v/>
      </c>
      <c r="G57" s="161" t="str">
        <f>IF(OR(G$6=1,G$6="2s",G$6=3,G$6=4),"",IF(G$48="","",IF(G$48=16,0,IF(G$49="","",IF(OR(SUMIF($C$15:$C$36,$C57,G$15:G$36)=0,G$13&gt;0),0,IF(G$38=0,"zone géo ?",SUMIF($C$15:$C$36,$C57,G$15:G$36)*G$49*IF(ISNA(VLOOKUP(CONCATENATE($C57,G$38," ",$D$39),données!$AJ$3:$AK$74,2,0)),"",VLOOKUP(CONCATENATE($C57,G$38," ",$D$39),données!$AJ$3:$AK$74,2,0))))))))</f>
        <v/>
      </c>
      <c r="H57" s="161" t="str">
        <f>IF(OR(H$6=1,H$6="2s",H$6=3,H$6=4),"",IF(H$48="","",IF(H$48=16,0,IF(H$49="","",IF(OR(SUMIF($C$15:$C$36,$C57,H$15:H$36)=0,H$13&gt;0),0,IF(H$38=0,"zone géo ?",SUMIF($C$15:$C$36,$C57,H$15:H$36)*H$49*IF(ISNA(VLOOKUP(CONCATENATE($C57,H$38," ",$D$39),données!$AJ$3:$AK$74,2,0)),"",VLOOKUP(CONCATENATE($C57,H$38," ",$D$39),données!$AJ$3:$AK$74,2,0))))))))</f>
        <v/>
      </c>
      <c r="I57" s="161" t="str">
        <f>IF(OR(I$6=1,I$6="2s",I$6=3,I$6=4),"",IF(I$48="","",IF(I$48=16,0,IF(I$49="","",IF(OR(SUMIF($C$15:$C$36,$C57,I$15:I$36)=0,I$13&gt;0),0,IF(I$38=0,"zone géo ?",SUMIF($C$15:$C$36,$C57,I$15:I$36)*I$49*IF(ISNA(VLOOKUP(CONCATENATE($C57,I$38," ",$D$39),données!$AJ$3:$AK$74,2,0)),"",VLOOKUP(CONCATENATE($C57,I$38," ",$D$39),données!$AJ$3:$AK$74,2,0))))))))</f>
        <v/>
      </c>
      <c r="J57" s="161" t="str">
        <f>IF(OR(J$6=1,J$6="2s",J$6=3,J$6=4),"",IF(J$48="","",IF(J$48=16,0,IF(J$49="","",IF(OR(SUMIF($C$15:$C$36,$C57,J$15:J$36)=0,J$13&gt;0),0,IF(J$38=0,"zone géo ?",SUMIF($C$15:$C$36,$C57,J$15:J$36)*J$49*IF(ISNA(VLOOKUP(CONCATENATE($C57,J$38," ",$D$39),données!$AJ$3:$AK$74,2,0)),"",VLOOKUP(CONCATENATE($C57,J$38," ",$D$39),données!$AJ$3:$AK$74,2,0))))))))</f>
        <v/>
      </c>
      <c r="K57" s="161" t="str">
        <f>IF(OR(K$6=1,K$6="2s",K$6=3,K$6=4),"",IF(K$48="","",IF(K$48=16,0,IF(K$49="","",IF(OR(SUMIF($C$15:$C$36,$C57,K$15:K$36)=0,K$13&gt;0),0,IF(K$38=0,"zone géo ?",SUMIF($C$15:$C$36,$C57,K$15:K$36)*K$49*IF(ISNA(VLOOKUP(CONCATENATE($C57,K$38," ",$D$39),données!$AJ$3:$AK$74,2,0)),"",VLOOKUP(CONCATENATE($C57,K$38," ",$D$39),données!$AJ$3:$AK$74,2,0))))))))</f>
        <v/>
      </c>
      <c r="L57" s="161" t="str">
        <f>IF(OR(L$6=1,L$6="2s",L$6=3,L$6=4),"",IF(L$48="","",IF(L$48=16,0,IF(L$49="","",IF(OR(SUMIF($C$15:$C$36,$C57,L$15:L$36)=0,L$13&gt;0),0,IF(L$38=0,"zone géo ?",SUMIF($C$15:$C$36,$C57,L$15:L$36)*L$49*IF(ISNA(VLOOKUP(CONCATENATE($C57,L$38," ",$D$39),données!$AJ$3:$AK$74,2,0)),"",VLOOKUP(CONCATENATE($C57,L$38," ",$D$39),données!$AJ$3:$AK$74,2,0))))))))</f>
        <v/>
      </c>
      <c r="M57" s="161" t="str">
        <f>IF(OR(M$6=1,M$6="2s",M$6=3,M$6=4),"",IF(M$48="","",IF(M$48=16,0,IF(M$49="","",IF(OR(SUMIF($C$15:$C$36,$C57,M$15:M$36)=0,M$13&gt;0),0,IF(M$38=0,"zone géo ?",SUMIF($C$15:$C$36,$C57,M$15:M$36)*M$49*IF(ISNA(VLOOKUP(CONCATENATE($C57,M$38," ",$D$39),données!$AJ$3:$AK$74,2,0)),"",VLOOKUP(CONCATENATE($C57,M$38," ",$D$39),données!$AJ$3:$AK$74,2,0))))))))</f>
        <v/>
      </c>
      <c r="N57" s="161" t="str">
        <f>IF(OR(N$6=1,N$6="2s",N$6=3,N$6=4),"",IF(N$48="","",IF(N$48=16,0,IF(N$49="","",IF(OR(SUMIF($C$15:$C$36,$C57,N$15:N$36)=0,N$13&gt;0),0,IF(N$38=0,"zone géo ?",SUMIF($C$15:$C$36,$C57,N$15:N$36)*N$49*IF(ISNA(VLOOKUP(CONCATENATE($C57,N$38," ",$D$39),données!$AJ$3:$AK$74,2,0)),"",VLOOKUP(CONCATENATE($C57,N$38," ",$D$39),données!$AJ$3:$AK$74,2,0))))))))</f>
        <v/>
      </c>
      <c r="O57" s="161" t="str">
        <f>IF(OR(O$6=1,O$6="2s",O$6=3,O$6=4),"",IF(O$48="","",IF(O$48=16,0,IF(O$49="","",IF(OR(SUMIF($C$15:$C$36,$C57,O$15:O$36)=0,O$13&gt;0),0,IF(O$38=0,"zone géo ?",SUMIF($C$15:$C$36,$C57,O$15:O$36)*O$49*IF(ISNA(VLOOKUP(CONCATENATE($C57,O$38," ",$D$39),données!$AJ$3:$AK$74,2,0)),"",VLOOKUP(CONCATENATE($C57,O$38," ",$D$39),données!$AJ$3:$AK$74,2,0))))))))</f>
        <v/>
      </c>
      <c r="P57" s="161" t="str">
        <f>IF(OR(P$6=1,P$6="2s",P$6=3,P$6=4),"",IF(P$48="","",IF(P$48=16,0,IF(P$49="","",IF(OR(SUMIF($C$15:$C$36,$C57,P$15:P$36)=0,P$13&gt;0),0,IF(P$38=0,"zone géo ?",SUMIF($C$15:$C$36,$C57,P$15:P$36)*P$49*IF(ISNA(VLOOKUP(CONCATENATE($C57,P$38," ",$D$39),données!$AJ$3:$AK$74,2,0)),"",VLOOKUP(CONCATENATE($C57,P$38," ",$D$39),données!$AJ$3:$AK$74,2,0))))))))</f>
        <v/>
      </c>
      <c r="Q57" s="161" t="str">
        <f>IF(OR(Q$6=1,Q$6="2s",Q$6=3,Q$6=4),"",IF(Q$48="","",IF(Q$48=16,0,IF(Q$49="","",IF(OR(SUMIF($C$15:$C$36,$C57,Q$15:Q$36)=0,Q$13&gt;0),0,IF(Q$38=0,"zone géo ?",SUMIF($C$15:$C$36,$C57,Q$15:Q$36)*Q$49*IF(ISNA(VLOOKUP(CONCATENATE($C57,Q$38," ",$D$39),données!$AJ$3:$AK$74,2,0)),"",VLOOKUP(CONCATENATE($C57,Q$38," ",$D$39),données!$AJ$3:$AK$74,2,0))))))))</f>
        <v/>
      </c>
      <c r="R57" s="161" t="str">
        <f>IF(OR(R$6=1,R$6="2s",R$6=3,R$6=4),"",IF(R$48="","",IF(R$48=16,0,IF(R$49="","",IF(OR(SUMIF($C$15:$C$36,$C57,R$15:R$36)=0,R$13&gt;0),0,IF(R$38=0,"zone géo ?",SUMIF($C$15:$C$36,$C57,R$15:R$36)*R$49*IF(ISNA(VLOOKUP(CONCATENATE($C57,R$38," ",$D$39),données!$AJ$3:$AK$74,2,0)),"",VLOOKUP(CONCATENATE($C57,R$38," ",$D$39),données!$AJ$3:$AK$74,2,0))))))))</f>
        <v/>
      </c>
      <c r="S57" s="161" t="str">
        <f>IF(OR(S$6=1,S$6="2s",S$6=3,S$6=4),"",IF(S$48="","",IF(S$48=16,0,IF(S$49="","",IF(OR(SUMIF($C$15:$C$36,$C57,S$15:S$36)=0,S$13&gt;0),0,IF(S$38=0,"zone géo ?",SUMIF($C$15:$C$36,$C57,S$15:S$36)*S$49*IF(ISNA(VLOOKUP(CONCATENATE($C57,S$38," ",$D$39),données!$AJ$3:$AK$74,2,0)),"",VLOOKUP(CONCATENATE($C57,S$38," ",$D$39),données!$AJ$3:$AK$74,2,0))))))))</f>
        <v/>
      </c>
      <c r="T57" s="161" t="str">
        <f>IF(OR(T$6=1,T$6="2s",T$6=3,T$6=4),"",IF(T$48="","",IF(T$48=16,0,IF(T$49="","",IF(OR(SUMIF($C$15:$C$36,$C57,T$15:T$36)=0,T$13&gt;0),0,IF(T$38=0,"zone géo ?",SUMIF($C$15:$C$36,$C57,T$15:T$36)*T$49*IF(ISNA(VLOOKUP(CONCATENATE($C57,T$38," ",$D$39),données!$AJ$3:$AK$74,2,0)),"",VLOOKUP(CONCATENATE($C57,T$38," ",$D$39),données!$AJ$3:$AK$74,2,0))))))))</f>
        <v/>
      </c>
      <c r="U57" s="161" t="str">
        <f>IF(OR(U$6=1,U$6="2s",U$6=3,U$6=4),"",IF(U$48="","",IF(U$48=16,0,IF(U$49="","",IF(OR(SUMIF($C$15:$C$36,$C57,U$15:U$36)=0,U$13&gt;0),0,IF(U$38=0,"zone géo ?",SUMIF($C$15:$C$36,$C57,U$15:U$36)*U$49*IF(ISNA(VLOOKUP(CONCATENATE($C57,U$38," ",$D$39),données!$AJ$3:$AK$74,2,0)),"",VLOOKUP(CONCATENATE($C57,U$38," ",$D$39),données!$AJ$3:$AK$74,2,0))))))))</f>
        <v/>
      </c>
      <c r="V57" s="161" t="str">
        <f>IF(OR(V$6=1,V$6="2s",V$6=3,V$6=4),"",IF(V$48="","",IF(V$48=16,0,IF(V$49="","",IF(OR(SUMIF($C$15:$C$36,$C57,V$15:V$36)=0,V$13&gt;0),0,IF(V$38=0,"zone géo ?",SUMIF($C$15:$C$36,$C57,V$15:V$36)*V$49*IF(ISNA(VLOOKUP(CONCATENATE($C57,V$38," ",$D$39),données!$AJ$3:$AK$74,2,0)),"",VLOOKUP(CONCATENATE($C57,V$38," ",$D$39),données!$AJ$3:$AK$74,2,0))))))))</f>
        <v/>
      </c>
      <c r="W57" s="161" t="str">
        <f>IF(OR(W$6=1,W$6="2s",W$6=3,W$6=4),"",IF(W$48="","",IF(W$48=16,0,IF(W$49="","",IF(OR(SUMIF($C$15:$C$36,$C57,W$15:W$36)=0,W$13&gt;0),0,IF(W$38=0,"zone géo ?",SUMIF($C$15:$C$36,$C57,W$15:W$36)*W$49*IF(ISNA(VLOOKUP(CONCATENATE($C57,W$38," ",$D$39),données!$AJ$3:$AK$74,2,0)),"",VLOOKUP(CONCATENATE($C57,W$38," ",$D$39),données!$AJ$3:$AK$74,2,0))))))))</f>
        <v/>
      </c>
      <c r="X57" s="161" t="str">
        <f>IF(OR(X$6=1,X$6="2s",X$6=3,X$6=4),"",IF(X$48="","",IF(X$48=16,0,IF(X$49="","",IF(OR(SUMIF($C$15:$C$36,$C57,X$15:X$36)=0,X$13&gt;0),0,IF(X$38=0,"zone géo ?",SUMIF($C$15:$C$36,$C57,X$15:X$36)*X$49*IF(ISNA(VLOOKUP(CONCATENATE($C57,X$38," ",$D$39),données!$AJ$3:$AK$74,2,0)),"",VLOOKUP(CONCATENATE($C57,X$38," ",$D$39),données!$AJ$3:$AK$74,2,0))))))))</f>
        <v/>
      </c>
      <c r="Y57" s="161" t="str">
        <f>IF(OR(Y$6=1,Y$6="2s",Y$6=3,Y$6=4),"",IF(Y$48="","",IF(Y$48=16,0,IF(Y$49="","",IF(OR(SUMIF($C$15:$C$36,$C57,Y$15:Y$36)=0,Y$13&gt;0),0,IF(Y$38=0,"zone géo ?",SUMIF($C$15:$C$36,$C57,Y$15:Y$36)*Y$49*IF(ISNA(VLOOKUP(CONCATENATE($C57,Y$38," ",$D$39),données!$AJ$3:$AK$74,2,0)),"",VLOOKUP(CONCATENATE($C57,Y$38," ",$D$39),données!$AJ$3:$AK$74,2,0))))))))</f>
        <v/>
      </c>
      <c r="Z57" s="161" t="str">
        <f>IF(OR(Z$6=1,Z$6="2s",Z$6=3,Z$6=4),"",IF(Z$48="","",IF(Z$48=16,0,IF(Z$49="","",IF(OR(SUMIF($C$15:$C$36,$C57,Z$15:Z$36)=0,Z$13&gt;0),0,IF(Z$38=0,"zone géo ?",SUMIF($C$15:$C$36,$C57,Z$15:Z$36)*Z$49*IF(ISNA(VLOOKUP(CONCATENATE($C57,Z$38," ",$D$39),données!$AJ$3:$AK$74,2,0)),"",VLOOKUP(CONCATENATE($C57,Z$38," ",$D$39),données!$AJ$3:$AK$74,2,0))))))))</f>
        <v/>
      </c>
      <c r="AA57" s="246">
        <f t="shared" si="32"/>
        <v>0</v>
      </c>
      <c r="AB57" s="231"/>
      <c r="AC57" s="319"/>
      <c r="AD57" s="232"/>
    </row>
    <row r="58" spans="1:30">
      <c r="A58" s="622"/>
      <c r="B58" s="595"/>
      <c r="C58" s="30" t="s">
        <v>39</v>
      </c>
      <c r="D58" s="161" t="str">
        <f>IF(OR(D$6=1,D$6="2s",D$6=3,D$6=4),"",IF(D$48="","",IF(D$48=16,0,IF(D$49="","",IF(OR(SUMIF($C$15:$C$36,$C58,D$15:D$36)=0,D$13&gt;0),0,IF(D$38=0,"zone géo ?",SUMIF($C$15:$C$36,$C58,D$15:D$36)*D$49*IF(ISNA(VLOOKUP(CONCATENATE($C58,D$38," ",$D$39),données!$AJ$3:$AK$74,2,0)),"",VLOOKUP(CONCATENATE($C58,D$38," ",$D$39),données!$AJ$3:$AK$74,2,0))))))))</f>
        <v/>
      </c>
      <c r="E58" s="161" t="str">
        <f>IF(OR(E$6=1,E$6="2s",E$6=3,E$6=4),"",IF(E$48="","",IF(E$48=16,0,IF(E$49="","",IF(OR(SUMIF($C$15:$C$36,$C58,E$15:E$36)=0,E$13&gt;0),0,IF(E$38=0,"zone géo ?",SUMIF($C$15:$C$36,$C58,E$15:E$36)*E$49*IF(ISNA(VLOOKUP(CONCATENATE($C58,E$38," ",$D$39),données!$AJ$3:$AK$74,2,0)),"",VLOOKUP(CONCATENATE($C58,E$38," ",$D$39),données!$AJ$3:$AK$74,2,0))))))))</f>
        <v/>
      </c>
      <c r="F58" s="161" t="str">
        <f>IF(OR(F$6=1,F$6="2s",F$6=3,F$6=4),"",IF(F$48="","",IF(F$48=16,0,IF(F$49="","",IF(OR(SUMIF($C$15:$C$36,$C58,F$15:F$36)=0,F$13&gt;0),0,IF(F$38=0,"zone géo ?",SUMIF($C$15:$C$36,$C58,F$15:F$36)*F$49*IF(ISNA(VLOOKUP(CONCATENATE($C58,F$38," ",$D$39),données!$AJ$3:$AK$74,2,0)),"",VLOOKUP(CONCATENATE($C58,F$38," ",$D$39),données!$AJ$3:$AK$74,2,0))))))))</f>
        <v/>
      </c>
      <c r="G58" s="161" t="str">
        <f>IF(OR(G$6=1,G$6="2s",G$6=3,G$6=4),"",IF(G$48="","",IF(G$48=16,0,IF(G$49="","",IF(OR(SUMIF($C$15:$C$36,$C58,G$15:G$36)=0,G$13&gt;0),0,IF(G$38=0,"zone géo ?",SUMIF($C$15:$C$36,$C58,G$15:G$36)*G$49*IF(ISNA(VLOOKUP(CONCATENATE($C58,G$38," ",$D$39),données!$AJ$3:$AK$74,2,0)),"",VLOOKUP(CONCATENATE($C58,G$38," ",$D$39),données!$AJ$3:$AK$74,2,0))))))))</f>
        <v/>
      </c>
      <c r="H58" s="161" t="str">
        <f>IF(OR(H$6=1,H$6="2s",H$6=3,H$6=4),"",IF(H$48="","",IF(H$48=16,0,IF(H$49="","",IF(OR(SUMIF($C$15:$C$36,$C58,H$15:H$36)=0,H$13&gt;0),0,IF(H$38=0,"zone géo ?",SUMIF($C$15:$C$36,$C58,H$15:H$36)*H$49*IF(ISNA(VLOOKUP(CONCATENATE($C58,H$38," ",$D$39),données!$AJ$3:$AK$74,2,0)),"",VLOOKUP(CONCATENATE($C58,H$38," ",$D$39),données!$AJ$3:$AK$74,2,0))))))))</f>
        <v/>
      </c>
      <c r="I58" s="161" t="str">
        <f>IF(OR(I$6=1,I$6="2s",I$6=3,I$6=4),"",IF(I$48="","",IF(I$48=16,0,IF(I$49="","",IF(OR(SUMIF($C$15:$C$36,$C58,I$15:I$36)=0,I$13&gt;0),0,IF(I$38=0,"zone géo ?",SUMIF($C$15:$C$36,$C58,I$15:I$36)*I$49*IF(ISNA(VLOOKUP(CONCATENATE($C58,I$38," ",$D$39),données!$AJ$3:$AK$74,2,0)),"",VLOOKUP(CONCATENATE($C58,I$38," ",$D$39),données!$AJ$3:$AK$74,2,0))))))))</f>
        <v/>
      </c>
      <c r="J58" s="161" t="str">
        <f>IF(OR(J$6=1,J$6="2s",J$6=3,J$6=4),"",IF(J$48="","",IF(J$48=16,0,IF(J$49="","",IF(OR(SUMIF($C$15:$C$36,$C58,J$15:J$36)=0,J$13&gt;0),0,IF(J$38=0,"zone géo ?",SUMIF($C$15:$C$36,$C58,J$15:J$36)*J$49*IF(ISNA(VLOOKUP(CONCATENATE($C58,J$38," ",$D$39),données!$AJ$3:$AK$74,2,0)),"",VLOOKUP(CONCATENATE($C58,J$38," ",$D$39),données!$AJ$3:$AK$74,2,0))))))))</f>
        <v/>
      </c>
      <c r="K58" s="161" t="str">
        <f>IF(OR(K$6=1,K$6="2s",K$6=3,K$6=4),"",IF(K$48="","",IF(K$48=16,0,IF(K$49="","",IF(OR(SUMIF($C$15:$C$36,$C58,K$15:K$36)=0,K$13&gt;0),0,IF(K$38=0,"zone géo ?",SUMIF($C$15:$C$36,$C58,K$15:K$36)*K$49*IF(ISNA(VLOOKUP(CONCATENATE($C58,K$38," ",$D$39),données!$AJ$3:$AK$74,2,0)),"",VLOOKUP(CONCATENATE($C58,K$38," ",$D$39),données!$AJ$3:$AK$74,2,0))))))))</f>
        <v/>
      </c>
      <c r="L58" s="161" t="str">
        <f>IF(OR(L$6=1,L$6="2s",L$6=3,L$6=4),"",IF(L$48="","",IF(L$48=16,0,IF(L$49="","",IF(OR(SUMIF($C$15:$C$36,$C58,L$15:L$36)=0,L$13&gt;0),0,IF(L$38=0,"zone géo ?",SUMIF($C$15:$C$36,$C58,L$15:L$36)*L$49*IF(ISNA(VLOOKUP(CONCATENATE($C58,L$38," ",$D$39),données!$AJ$3:$AK$74,2,0)),"",VLOOKUP(CONCATENATE($C58,L$38," ",$D$39),données!$AJ$3:$AK$74,2,0))))))))</f>
        <v/>
      </c>
      <c r="M58" s="161" t="str">
        <f>IF(OR(M$6=1,M$6="2s",M$6=3,M$6=4),"",IF(M$48="","",IF(M$48=16,0,IF(M$49="","",IF(OR(SUMIF($C$15:$C$36,$C58,M$15:M$36)=0,M$13&gt;0),0,IF(M$38=0,"zone géo ?",SUMIF($C$15:$C$36,$C58,M$15:M$36)*M$49*IF(ISNA(VLOOKUP(CONCATENATE($C58,M$38," ",$D$39),données!$AJ$3:$AK$74,2,0)),"",VLOOKUP(CONCATENATE($C58,M$38," ",$D$39),données!$AJ$3:$AK$74,2,0))))))))</f>
        <v/>
      </c>
      <c r="N58" s="161" t="str">
        <f>IF(OR(N$6=1,N$6="2s",N$6=3,N$6=4),"",IF(N$48="","",IF(N$48=16,0,IF(N$49="","",IF(OR(SUMIF($C$15:$C$36,$C58,N$15:N$36)=0,N$13&gt;0),0,IF(N$38=0,"zone géo ?",SUMIF($C$15:$C$36,$C58,N$15:N$36)*N$49*IF(ISNA(VLOOKUP(CONCATENATE($C58,N$38," ",$D$39),données!$AJ$3:$AK$74,2,0)),"",VLOOKUP(CONCATENATE($C58,N$38," ",$D$39),données!$AJ$3:$AK$74,2,0))))))))</f>
        <v/>
      </c>
      <c r="O58" s="161" t="str">
        <f>IF(OR(O$6=1,O$6="2s",O$6=3,O$6=4),"",IF(O$48="","",IF(O$48=16,0,IF(O$49="","",IF(OR(SUMIF($C$15:$C$36,$C58,O$15:O$36)=0,O$13&gt;0),0,IF(O$38=0,"zone géo ?",SUMIF($C$15:$C$36,$C58,O$15:O$36)*O$49*IF(ISNA(VLOOKUP(CONCATENATE($C58,O$38," ",$D$39),données!$AJ$3:$AK$74,2,0)),"",VLOOKUP(CONCATENATE($C58,O$38," ",$D$39),données!$AJ$3:$AK$74,2,0))))))))</f>
        <v/>
      </c>
      <c r="P58" s="161" t="str">
        <f>IF(OR(P$6=1,P$6="2s",P$6=3,P$6=4),"",IF(P$48="","",IF(P$48=16,0,IF(P$49="","",IF(OR(SUMIF($C$15:$C$36,$C58,P$15:P$36)=0,P$13&gt;0),0,IF(P$38=0,"zone géo ?",SUMIF($C$15:$C$36,$C58,P$15:P$36)*P$49*IF(ISNA(VLOOKUP(CONCATENATE($C58,P$38," ",$D$39),données!$AJ$3:$AK$74,2,0)),"",VLOOKUP(CONCATENATE($C58,P$38," ",$D$39),données!$AJ$3:$AK$74,2,0))))))))</f>
        <v/>
      </c>
      <c r="Q58" s="161" t="str">
        <f>IF(OR(Q$6=1,Q$6="2s",Q$6=3,Q$6=4),"",IF(Q$48="","",IF(Q$48=16,0,IF(Q$49="","",IF(OR(SUMIF($C$15:$C$36,$C58,Q$15:Q$36)=0,Q$13&gt;0),0,IF(Q$38=0,"zone géo ?",SUMIF($C$15:$C$36,$C58,Q$15:Q$36)*Q$49*IF(ISNA(VLOOKUP(CONCATENATE($C58,Q$38," ",$D$39),données!$AJ$3:$AK$74,2,0)),"",VLOOKUP(CONCATENATE($C58,Q$38," ",$D$39),données!$AJ$3:$AK$74,2,0))))))))</f>
        <v/>
      </c>
      <c r="R58" s="161" t="str">
        <f>IF(OR(R$6=1,R$6="2s",R$6=3,R$6=4),"",IF(R$48="","",IF(R$48=16,0,IF(R$49="","",IF(OR(SUMIF($C$15:$C$36,$C58,R$15:R$36)=0,R$13&gt;0),0,IF(R$38=0,"zone géo ?",SUMIF($C$15:$C$36,$C58,R$15:R$36)*R$49*IF(ISNA(VLOOKUP(CONCATENATE($C58,R$38," ",$D$39),données!$AJ$3:$AK$74,2,0)),"",VLOOKUP(CONCATENATE($C58,R$38," ",$D$39),données!$AJ$3:$AK$74,2,0))))))))</f>
        <v/>
      </c>
      <c r="S58" s="161" t="str">
        <f>IF(OR(S$6=1,S$6="2s",S$6=3,S$6=4),"",IF(S$48="","",IF(S$48=16,0,IF(S$49="","",IF(OR(SUMIF($C$15:$C$36,$C58,S$15:S$36)=0,S$13&gt;0),0,IF(S$38=0,"zone géo ?",SUMIF($C$15:$C$36,$C58,S$15:S$36)*S$49*IF(ISNA(VLOOKUP(CONCATENATE($C58,S$38," ",$D$39),données!$AJ$3:$AK$74,2,0)),"",VLOOKUP(CONCATENATE($C58,S$38," ",$D$39),données!$AJ$3:$AK$74,2,0))))))))</f>
        <v/>
      </c>
      <c r="T58" s="161" t="str">
        <f>IF(OR(T$6=1,T$6="2s",T$6=3,T$6=4),"",IF(T$48="","",IF(T$48=16,0,IF(T$49="","",IF(OR(SUMIF($C$15:$C$36,$C58,T$15:T$36)=0,T$13&gt;0),0,IF(T$38=0,"zone géo ?",SUMIF($C$15:$C$36,$C58,T$15:T$36)*T$49*IF(ISNA(VLOOKUP(CONCATENATE($C58,T$38," ",$D$39),données!$AJ$3:$AK$74,2,0)),"",VLOOKUP(CONCATENATE($C58,T$38," ",$D$39),données!$AJ$3:$AK$74,2,0))))))))</f>
        <v/>
      </c>
      <c r="U58" s="161" t="str">
        <f>IF(OR(U$6=1,U$6="2s",U$6=3,U$6=4),"",IF(U$48="","",IF(U$48=16,0,IF(U$49="","",IF(OR(SUMIF($C$15:$C$36,$C58,U$15:U$36)=0,U$13&gt;0),0,IF(U$38=0,"zone géo ?",SUMIF($C$15:$C$36,$C58,U$15:U$36)*U$49*IF(ISNA(VLOOKUP(CONCATENATE($C58,U$38," ",$D$39),données!$AJ$3:$AK$74,2,0)),"",VLOOKUP(CONCATENATE($C58,U$38," ",$D$39),données!$AJ$3:$AK$74,2,0))))))))</f>
        <v/>
      </c>
      <c r="V58" s="161" t="str">
        <f>IF(OR(V$6=1,V$6="2s",V$6=3,V$6=4),"",IF(V$48="","",IF(V$48=16,0,IF(V$49="","",IF(OR(SUMIF($C$15:$C$36,$C58,V$15:V$36)=0,V$13&gt;0),0,IF(V$38=0,"zone géo ?",SUMIF($C$15:$C$36,$C58,V$15:V$36)*V$49*IF(ISNA(VLOOKUP(CONCATENATE($C58,V$38," ",$D$39),données!$AJ$3:$AK$74,2,0)),"",VLOOKUP(CONCATENATE($C58,V$38," ",$D$39),données!$AJ$3:$AK$74,2,0))))))))</f>
        <v/>
      </c>
      <c r="W58" s="161" t="str">
        <f>IF(OR(W$6=1,W$6="2s",W$6=3,W$6=4),"",IF(W$48="","",IF(W$48=16,0,IF(W$49="","",IF(OR(SUMIF($C$15:$C$36,$C58,W$15:W$36)=0,W$13&gt;0),0,IF(W$38=0,"zone géo ?",SUMIF($C$15:$C$36,$C58,W$15:W$36)*W$49*IF(ISNA(VLOOKUP(CONCATENATE($C58,W$38," ",$D$39),données!$AJ$3:$AK$74,2,0)),"",VLOOKUP(CONCATENATE($C58,W$38," ",$D$39),données!$AJ$3:$AK$74,2,0))))))))</f>
        <v/>
      </c>
      <c r="X58" s="161" t="str">
        <f>IF(OR(X$6=1,X$6="2s",X$6=3,X$6=4),"",IF(X$48="","",IF(X$48=16,0,IF(X$49="","",IF(OR(SUMIF($C$15:$C$36,$C58,X$15:X$36)=0,X$13&gt;0),0,IF(X$38=0,"zone géo ?",SUMIF($C$15:$C$36,$C58,X$15:X$36)*X$49*IF(ISNA(VLOOKUP(CONCATENATE($C58,X$38," ",$D$39),données!$AJ$3:$AK$74,2,0)),"",VLOOKUP(CONCATENATE($C58,X$38," ",$D$39),données!$AJ$3:$AK$74,2,0))))))))</f>
        <v/>
      </c>
      <c r="Y58" s="161" t="str">
        <f>IF(OR(Y$6=1,Y$6="2s",Y$6=3,Y$6=4),"",IF(Y$48="","",IF(Y$48=16,0,IF(Y$49="","",IF(OR(SUMIF($C$15:$C$36,$C58,Y$15:Y$36)=0,Y$13&gt;0),0,IF(Y$38=0,"zone géo ?",SUMIF($C$15:$C$36,$C58,Y$15:Y$36)*Y$49*IF(ISNA(VLOOKUP(CONCATENATE($C58,Y$38," ",$D$39),données!$AJ$3:$AK$74,2,0)),"",VLOOKUP(CONCATENATE($C58,Y$38," ",$D$39),données!$AJ$3:$AK$74,2,0))))))))</f>
        <v/>
      </c>
      <c r="Z58" s="161" t="str">
        <f>IF(OR(Z$6=1,Z$6="2s",Z$6=3,Z$6=4),"",IF(Z$48="","",IF(Z$48=16,0,IF(Z$49="","",IF(OR(SUMIF($C$15:$C$36,$C58,Z$15:Z$36)=0,Z$13&gt;0),0,IF(Z$38=0,"zone géo ?",SUMIF($C$15:$C$36,$C58,Z$15:Z$36)*Z$49*IF(ISNA(VLOOKUP(CONCATENATE($C58,Z$38," ",$D$39),données!$AJ$3:$AK$74,2,0)),"",VLOOKUP(CONCATENATE($C58,Z$38," ",$D$39),données!$AJ$3:$AK$74,2,0))))))))</f>
        <v/>
      </c>
      <c r="AA58" s="246">
        <f t="shared" si="32"/>
        <v>0</v>
      </c>
      <c r="AB58" s="233"/>
      <c r="AC58" s="320"/>
      <c r="AD58" s="234"/>
    </row>
    <row r="59" spans="1:30">
      <c r="A59" s="622"/>
      <c r="B59" s="595"/>
      <c r="C59" s="30" t="s">
        <v>41</v>
      </c>
      <c r="D59" s="161" t="str">
        <f>IF(OR(D$6=1,D$6="2s",D$6=3,D$6=4),"",IF(D$48="","",IF(D$48=16,0,IF(D$49="","",IF(OR(SUMIF($C$15:$C$36,$C59,D$15:D$36)=0,D$13&gt;0),0,IF(D$38=0,"zone géo ?",SUMIF($C$15:$C$36,$C59,D$15:D$36)*D$49*IF(ISNA(VLOOKUP(CONCATENATE($C59,D$38," ",$D$39),données!$AJ$3:$AK$74,2,0)),"",VLOOKUP(CONCATENATE($C59,D$38," ",$D$39),données!$AJ$3:$AK$74,2,0))))))))</f>
        <v/>
      </c>
      <c r="E59" s="161" t="str">
        <f>IF(OR(E$6=1,E$6="2s",E$6=3,E$6=4),"",IF(E$48="","",IF(E$48=16,0,IF(E$49="","",IF(OR(SUMIF($C$15:$C$36,$C59,E$15:E$36)=0,E$13&gt;0),0,IF(E$38=0,"zone géo ?",SUMIF($C$15:$C$36,$C59,E$15:E$36)*E$49*IF(ISNA(VLOOKUP(CONCATENATE($C59,E$38," ",$D$39),données!$AJ$3:$AK$74,2,0)),"",VLOOKUP(CONCATENATE($C59,E$38," ",$D$39),données!$AJ$3:$AK$74,2,0))))))))</f>
        <v/>
      </c>
      <c r="F59" s="161" t="str">
        <f>IF(OR(F$6=1,F$6="2s",F$6=3,F$6=4),"",IF(F$48="","",IF(F$48=16,0,IF(F$49="","",IF(OR(SUMIF($C$15:$C$36,$C59,F$15:F$36)=0,F$13&gt;0),0,IF(F$38=0,"zone géo ?",SUMIF($C$15:$C$36,$C59,F$15:F$36)*F$49*IF(ISNA(VLOOKUP(CONCATENATE($C59,F$38," ",$D$39),données!$AJ$3:$AK$74,2,0)),"",VLOOKUP(CONCATENATE($C59,F$38," ",$D$39),données!$AJ$3:$AK$74,2,0))))))))</f>
        <v/>
      </c>
      <c r="G59" s="161" t="str">
        <f>IF(OR(G$6=1,G$6="2s",G$6=3,G$6=4),"",IF(G$48="","",IF(G$48=16,0,IF(G$49="","",IF(OR(SUMIF($C$15:$C$36,$C59,G$15:G$36)=0,G$13&gt;0),0,IF(G$38=0,"zone géo ?",SUMIF($C$15:$C$36,$C59,G$15:G$36)*G$49*IF(ISNA(VLOOKUP(CONCATENATE($C59,G$38," ",$D$39),données!$AJ$3:$AK$74,2,0)),"",VLOOKUP(CONCATENATE($C59,G$38," ",$D$39),données!$AJ$3:$AK$74,2,0))))))))</f>
        <v/>
      </c>
      <c r="H59" s="161" t="str">
        <f>IF(OR(H$6=1,H$6="2s",H$6=3,H$6=4),"",IF(H$48="","",IF(H$48=16,0,IF(H$49="","",IF(OR(SUMIF($C$15:$C$36,$C59,H$15:H$36)=0,H$13&gt;0),0,IF(H$38=0,"zone géo ?",SUMIF($C$15:$C$36,$C59,H$15:H$36)*H$49*IF(ISNA(VLOOKUP(CONCATENATE($C59,H$38," ",$D$39),données!$AJ$3:$AK$74,2,0)),"",VLOOKUP(CONCATENATE($C59,H$38," ",$D$39),données!$AJ$3:$AK$74,2,0))))))))</f>
        <v/>
      </c>
      <c r="I59" s="161" t="str">
        <f>IF(OR(I$6=1,I$6="2s",I$6=3,I$6=4),"",IF(I$48="","",IF(I$48=16,0,IF(I$49="","",IF(OR(SUMIF($C$15:$C$36,$C59,I$15:I$36)=0,I$13&gt;0),0,IF(I$38=0,"zone géo ?",SUMIF($C$15:$C$36,$C59,I$15:I$36)*I$49*IF(ISNA(VLOOKUP(CONCATENATE($C59,I$38," ",$D$39),données!$AJ$3:$AK$74,2,0)),"",VLOOKUP(CONCATENATE($C59,I$38," ",$D$39),données!$AJ$3:$AK$74,2,0))))))))</f>
        <v/>
      </c>
      <c r="J59" s="161" t="str">
        <f>IF(OR(J$6=1,J$6="2s",J$6=3,J$6=4),"",IF(J$48="","",IF(J$48=16,0,IF(J$49="","",IF(OR(SUMIF($C$15:$C$36,$C59,J$15:J$36)=0,J$13&gt;0),0,IF(J$38=0,"zone géo ?",SUMIF($C$15:$C$36,$C59,J$15:J$36)*J$49*IF(ISNA(VLOOKUP(CONCATENATE($C59,J$38," ",$D$39),données!$AJ$3:$AK$74,2,0)),"",VLOOKUP(CONCATENATE($C59,J$38," ",$D$39),données!$AJ$3:$AK$74,2,0))))))))</f>
        <v/>
      </c>
      <c r="K59" s="161" t="str">
        <f>IF(OR(K$6=1,K$6="2s",K$6=3,K$6=4),"",IF(K$48="","",IF(K$48=16,0,IF(K$49="","",IF(OR(SUMIF($C$15:$C$36,$C59,K$15:K$36)=0,K$13&gt;0),0,IF(K$38=0,"zone géo ?",SUMIF($C$15:$C$36,$C59,K$15:K$36)*K$49*IF(ISNA(VLOOKUP(CONCATENATE($C59,K$38," ",$D$39),données!$AJ$3:$AK$74,2,0)),"",VLOOKUP(CONCATENATE($C59,K$38," ",$D$39),données!$AJ$3:$AK$74,2,0))))))))</f>
        <v/>
      </c>
      <c r="L59" s="161" t="str">
        <f>IF(OR(L$6=1,L$6="2s",L$6=3,L$6=4),"",IF(L$48="","",IF(L$48=16,0,IF(L$49="","",IF(OR(SUMIF($C$15:$C$36,$C59,L$15:L$36)=0,L$13&gt;0),0,IF(L$38=0,"zone géo ?",SUMIF($C$15:$C$36,$C59,L$15:L$36)*L$49*IF(ISNA(VLOOKUP(CONCATENATE($C59,L$38," ",$D$39),données!$AJ$3:$AK$74,2,0)),"",VLOOKUP(CONCATENATE($C59,L$38," ",$D$39),données!$AJ$3:$AK$74,2,0))))))))</f>
        <v/>
      </c>
      <c r="M59" s="161" t="str">
        <f>IF(OR(M$6=1,M$6="2s",M$6=3,M$6=4),"",IF(M$48="","",IF(M$48=16,0,IF(M$49="","",IF(OR(SUMIF($C$15:$C$36,$C59,M$15:M$36)=0,M$13&gt;0),0,IF(M$38=0,"zone géo ?",SUMIF($C$15:$C$36,$C59,M$15:M$36)*M$49*IF(ISNA(VLOOKUP(CONCATENATE($C59,M$38," ",$D$39),données!$AJ$3:$AK$74,2,0)),"",VLOOKUP(CONCATENATE($C59,M$38," ",$D$39),données!$AJ$3:$AK$74,2,0))))))))</f>
        <v/>
      </c>
      <c r="N59" s="161" t="str">
        <f>IF(OR(N$6=1,N$6="2s",N$6=3,N$6=4),"",IF(N$48="","",IF(N$48=16,0,IF(N$49="","",IF(OR(SUMIF($C$15:$C$36,$C59,N$15:N$36)=0,N$13&gt;0),0,IF(N$38=0,"zone géo ?",SUMIF($C$15:$C$36,$C59,N$15:N$36)*N$49*IF(ISNA(VLOOKUP(CONCATENATE($C59,N$38," ",$D$39),données!$AJ$3:$AK$74,2,0)),"",VLOOKUP(CONCATENATE($C59,N$38," ",$D$39),données!$AJ$3:$AK$74,2,0))))))))</f>
        <v/>
      </c>
      <c r="O59" s="161" t="str">
        <f>IF(OR(O$6=1,O$6="2s",O$6=3,O$6=4),"",IF(O$48="","",IF(O$48=16,0,IF(O$49="","",IF(OR(SUMIF($C$15:$C$36,$C59,O$15:O$36)=0,O$13&gt;0),0,IF(O$38=0,"zone géo ?",SUMIF($C$15:$C$36,$C59,O$15:O$36)*O$49*IF(ISNA(VLOOKUP(CONCATENATE($C59,O$38," ",$D$39),données!$AJ$3:$AK$74,2,0)),"",VLOOKUP(CONCATENATE($C59,O$38," ",$D$39),données!$AJ$3:$AK$74,2,0))))))))</f>
        <v/>
      </c>
      <c r="P59" s="161" t="str">
        <f>IF(OR(P$6=1,P$6="2s",P$6=3,P$6=4),"",IF(P$48="","",IF(P$48=16,0,IF(P$49="","",IF(OR(SUMIF($C$15:$C$36,$C59,P$15:P$36)=0,P$13&gt;0),0,IF(P$38=0,"zone géo ?",SUMIF($C$15:$C$36,$C59,P$15:P$36)*P$49*IF(ISNA(VLOOKUP(CONCATENATE($C59,P$38," ",$D$39),données!$AJ$3:$AK$74,2,0)),"",VLOOKUP(CONCATENATE($C59,P$38," ",$D$39),données!$AJ$3:$AK$74,2,0))))))))</f>
        <v/>
      </c>
      <c r="Q59" s="161" t="str">
        <f>IF(OR(Q$6=1,Q$6="2s",Q$6=3,Q$6=4),"",IF(Q$48="","",IF(Q$48=16,0,IF(Q$49="","",IF(OR(SUMIF($C$15:$C$36,$C59,Q$15:Q$36)=0,Q$13&gt;0),0,IF(Q$38=0,"zone géo ?",SUMIF($C$15:$C$36,$C59,Q$15:Q$36)*Q$49*IF(ISNA(VLOOKUP(CONCATENATE($C59,Q$38," ",$D$39),données!$AJ$3:$AK$74,2,0)),"",VLOOKUP(CONCATENATE($C59,Q$38," ",$D$39),données!$AJ$3:$AK$74,2,0))))))))</f>
        <v/>
      </c>
      <c r="R59" s="161" t="str">
        <f>IF(OR(R$6=1,R$6="2s",R$6=3,R$6=4),"",IF(R$48="","",IF(R$48=16,0,IF(R$49="","",IF(OR(SUMIF($C$15:$C$36,$C59,R$15:R$36)=0,R$13&gt;0),0,IF(R$38=0,"zone géo ?",SUMIF($C$15:$C$36,$C59,R$15:R$36)*R$49*IF(ISNA(VLOOKUP(CONCATENATE($C59,R$38," ",$D$39),données!$AJ$3:$AK$74,2,0)),"",VLOOKUP(CONCATENATE($C59,R$38," ",$D$39),données!$AJ$3:$AK$74,2,0))))))))</f>
        <v/>
      </c>
      <c r="S59" s="161" t="str">
        <f>IF(OR(S$6=1,S$6="2s",S$6=3,S$6=4),"",IF(S$48="","",IF(S$48=16,0,IF(S$49="","",IF(OR(SUMIF($C$15:$C$36,$C59,S$15:S$36)=0,S$13&gt;0),0,IF(S$38=0,"zone géo ?",SUMIF($C$15:$C$36,$C59,S$15:S$36)*S$49*IF(ISNA(VLOOKUP(CONCATENATE($C59,S$38," ",$D$39),données!$AJ$3:$AK$74,2,0)),"",VLOOKUP(CONCATENATE($C59,S$38," ",$D$39),données!$AJ$3:$AK$74,2,0))))))))</f>
        <v/>
      </c>
      <c r="T59" s="161" t="str">
        <f>IF(OR(T$6=1,T$6="2s",T$6=3,T$6=4),"",IF(T$48="","",IF(T$48=16,0,IF(T$49="","",IF(OR(SUMIF($C$15:$C$36,$C59,T$15:T$36)=0,T$13&gt;0),0,IF(T$38=0,"zone géo ?",SUMIF($C$15:$C$36,$C59,T$15:T$36)*T$49*IF(ISNA(VLOOKUP(CONCATENATE($C59,T$38," ",$D$39),données!$AJ$3:$AK$74,2,0)),"",VLOOKUP(CONCATENATE($C59,T$38," ",$D$39),données!$AJ$3:$AK$74,2,0))))))))</f>
        <v/>
      </c>
      <c r="U59" s="161" t="str">
        <f>IF(OR(U$6=1,U$6="2s",U$6=3,U$6=4),"",IF(U$48="","",IF(U$48=16,0,IF(U$49="","",IF(OR(SUMIF($C$15:$C$36,$C59,U$15:U$36)=0,U$13&gt;0),0,IF(U$38=0,"zone géo ?",SUMIF($C$15:$C$36,$C59,U$15:U$36)*U$49*IF(ISNA(VLOOKUP(CONCATENATE($C59,U$38," ",$D$39),données!$AJ$3:$AK$74,2,0)),"",VLOOKUP(CONCATENATE($C59,U$38," ",$D$39),données!$AJ$3:$AK$74,2,0))))))))</f>
        <v/>
      </c>
      <c r="V59" s="161" t="str">
        <f>IF(OR(V$6=1,V$6="2s",V$6=3,V$6=4),"",IF(V$48="","",IF(V$48=16,0,IF(V$49="","",IF(OR(SUMIF($C$15:$C$36,$C59,V$15:V$36)=0,V$13&gt;0),0,IF(V$38=0,"zone géo ?",SUMIF($C$15:$C$36,$C59,V$15:V$36)*V$49*IF(ISNA(VLOOKUP(CONCATENATE($C59,V$38," ",$D$39),données!$AJ$3:$AK$74,2,0)),"",VLOOKUP(CONCATENATE($C59,V$38," ",$D$39),données!$AJ$3:$AK$74,2,0))))))))</f>
        <v/>
      </c>
      <c r="W59" s="161" t="str">
        <f>IF(OR(W$6=1,W$6="2s",W$6=3,W$6=4),"",IF(W$48="","",IF(W$48=16,0,IF(W$49="","",IF(OR(SUMIF($C$15:$C$36,$C59,W$15:W$36)=0,W$13&gt;0),0,IF(W$38=0,"zone géo ?",SUMIF($C$15:$C$36,$C59,W$15:W$36)*W$49*IF(ISNA(VLOOKUP(CONCATENATE($C59,W$38," ",$D$39),données!$AJ$3:$AK$74,2,0)),"",VLOOKUP(CONCATENATE($C59,W$38," ",$D$39),données!$AJ$3:$AK$74,2,0))))))))</f>
        <v/>
      </c>
      <c r="X59" s="161" t="str">
        <f>IF(OR(X$6=1,X$6="2s",X$6=3,X$6=4),"",IF(X$48="","",IF(X$48=16,0,IF(X$49="","",IF(OR(SUMIF($C$15:$C$36,$C59,X$15:X$36)=0,X$13&gt;0),0,IF(X$38=0,"zone géo ?",SUMIF($C$15:$C$36,$C59,X$15:X$36)*X$49*IF(ISNA(VLOOKUP(CONCATENATE($C59,X$38," ",$D$39),données!$AJ$3:$AK$74,2,0)),"",VLOOKUP(CONCATENATE($C59,X$38," ",$D$39),données!$AJ$3:$AK$74,2,0))))))))</f>
        <v/>
      </c>
      <c r="Y59" s="161" t="str">
        <f>IF(OR(Y$6=1,Y$6="2s",Y$6=3,Y$6=4),"",IF(Y$48="","",IF(Y$48=16,0,IF(Y$49="","",IF(OR(SUMIF($C$15:$C$36,$C59,Y$15:Y$36)=0,Y$13&gt;0),0,IF(Y$38=0,"zone géo ?",SUMIF($C$15:$C$36,$C59,Y$15:Y$36)*Y$49*IF(ISNA(VLOOKUP(CONCATENATE($C59,Y$38," ",$D$39),données!$AJ$3:$AK$74,2,0)),"",VLOOKUP(CONCATENATE($C59,Y$38," ",$D$39),données!$AJ$3:$AK$74,2,0))))))))</f>
        <v/>
      </c>
      <c r="Z59" s="161" t="str">
        <f>IF(OR(Z$6=1,Z$6="2s",Z$6=3,Z$6=4),"",IF(Z$48="","",IF(Z$48=16,0,IF(Z$49="","",IF(OR(SUMIF($C$15:$C$36,$C59,Z$15:Z$36)=0,Z$13&gt;0),0,IF(Z$38=0,"zone géo ?",SUMIF($C$15:$C$36,$C59,Z$15:Z$36)*Z$49*IF(ISNA(VLOOKUP(CONCATENATE($C59,Z$38," ",$D$39),données!$AJ$3:$AK$74,2,0)),"",VLOOKUP(CONCATENATE($C59,Z$38," ",$D$39),données!$AJ$3:$AK$74,2,0))))))))</f>
        <v/>
      </c>
      <c r="AA59" s="246">
        <f t="shared" si="32"/>
        <v>0</v>
      </c>
      <c r="AB59" s="231"/>
      <c r="AC59" s="319"/>
      <c r="AD59" s="232"/>
    </row>
    <row r="60" spans="1:30">
      <c r="A60" s="622"/>
      <c r="B60" s="595"/>
      <c r="C60" s="30" t="s">
        <v>43</v>
      </c>
      <c r="D60" s="161" t="str">
        <f>IF(OR(D$6=1,D$6="2s",D$6=3,D$6=4),"",IF(D$48="","",IF(D$48=16,0,IF(D$49="","",IF(OR(SUMIF($C$15:$C$36,$C60,D$15:D$36)=0,D$13&gt;0),0,IF(D$38=0,"zone géo ?",SUMIF($C$15:$C$36,$C60,D$15:D$36)*D$49*IF(ISNA(VLOOKUP(CONCATENATE($C60,D$38," ",$D$39),données!$AJ$3:$AK$74,2,0)),"",VLOOKUP(CONCATENATE($C60,D$38," ",$D$39),données!$AJ$3:$AK$74,2,0))))))))</f>
        <v/>
      </c>
      <c r="E60" s="161" t="str">
        <f>IF(OR(E$6=1,E$6="2s",E$6=3,E$6=4),"",IF(E$48="","",IF(E$48=16,0,IF(E$49="","",IF(OR(SUMIF($C$15:$C$36,$C60,E$15:E$36)=0,E$13&gt;0),0,IF(E$38=0,"zone géo ?",SUMIF($C$15:$C$36,$C60,E$15:E$36)*E$49*IF(ISNA(VLOOKUP(CONCATENATE($C60,E$38," ",$D$39),données!$AJ$3:$AK$74,2,0)),"",VLOOKUP(CONCATENATE($C60,E$38," ",$D$39),données!$AJ$3:$AK$74,2,0))))))))</f>
        <v/>
      </c>
      <c r="F60" s="161" t="str">
        <f>IF(OR(F$6=1,F$6="2s",F$6=3,F$6=4),"",IF(F$48="","",IF(F$48=16,0,IF(F$49="","",IF(OR(SUMIF($C$15:$C$36,$C60,F$15:F$36)=0,F$13&gt;0),0,IF(F$38=0,"zone géo ?",SUMIF($C$15:$C$36,$C60,F$15:F$36)*F$49*IF(ISNA(VLOOKUP(CONCATENATE($C60,F$38," ",$D$39),données!$AJ$3:$AK$74,2,0)),"",VLOOKUP(CONCATENATE($C60,F$38," ",$D$39),données!$AJ$3:$AK$74,2,0))))))))</f>
        <v/>
      </c>
      <c r="G60" s="161" t="str">
        <f>IF(OR(G$6=1,G$6="2s",G$6=3,G$6=4),"",IF(G$48="","",IF(G$48=16,0,IF(G$49="","",IF(OR(SUMIF($C$15:$C$36,$C60,G$15:G$36)=0,G$13&gt;0),0,IF(G$38=0,"zone géo ?",SUMIF($C$15:$C$36,$C60,G$15:G$36)*G$49*IF(ISNA(VLOOKUP(CONCATENATE($C60,G$38," ",$D$39),données!$AJ$3:$AK$74,2,0)),"",VLOOKUP(CONCATENATE($C60,G$38," ",$D$39),données!$AJ$3:$AK$74,2,0))))))))</f>
        <v/>
      </c>
      <c r="H60" s="161" t="str">
        <f>IF(OR(H$6=1,H$6="2s",H$6=3,H$6=4),"",IF(H$48="","",IF(H$48=16,0,IF(H$49="","",IF(OR(SUMIF($C$15:$C$36,$C60,H$15:H$36)=0,H$13&gt;0),0,IF(H$38=0,"zone géo ?",SUMIF($C$15:$C$36,$C60,H$15:H$36)*H$49*IF(ISNA(VLOOKUP(CONCATENATE($C60,H$38," ",$D$39),données!$AJ$3:$AK$74,2,0)),"",VLOOKUP(CONCATENATE($C60,H$38," ",$D$39),données!$AJ$3:$AK$74,2,0))))))))</f>
        <v/>
      </c>
      <c r="I60" s="161" t="str">
        <f>IF(OR(I$6=1,I$6="2s",I$6=3,I$6=4),"",IF(I$48="","",IF(I$48=16,0,IF(I$49="","",IF(OR(SUMIF($C$15:$C$36,$C60,I$15:I$36)=0,I$13&gt;0),0,IF(I$38=0,"zone géo ?",SUMIF($C$15:$C$36,$C60,I$15:I$36)*I$49*IF(ISNA(VLOOKUP(CONCATENATE($C60,I$38," ",$D$39),données!$AJ$3:$AK$74,2,0)),"",VLOOKUP(CONCATENATE($C60,I$38," ",$D$39),données!$AJ$3:$AK$74,2,0))))))))</f>
        <v/>
      </c>
      <c r="J60" s="161" t="str">
        <f>IF(OR(J$6=1,J$6="2s",J$6=3,J$6=4),"",IF(J$48="","",IF(J$48=16,0,IF(J$49="","",IF(OR(SUMIF($C$15:$C$36,$C60,J$15:J$36)=0,J$13&gt;0),0,IF(J$38=0,"zone géo ?",SUMIF($C$15:$C$36,$C60,J$15:J$36)*J$49*IF(ISNA(VLOOKUP(CONCATENATE($C60,J$38," ",$D$39),données!$AJ$3:$AK$74,2,0)),"",VLOOKUP(CONCATENATE($C60,J$38," ",$D$39),données!$AJ$3:$AK$74,2,0))))))))</f>
        <v/>
      </c>
      <c r="K60" s="161" t="str">
        <f>IF(OR(K$6=1,K$6="2s",K$6=3,K$6=4),"",IF(K$48="","",IF(K$48=16,0,IF(K$49="","",IF(OR(SUMIF($C$15:$C$36,$C60,K$15:K$36)=0,K$13&gt;0),0,IF(K$38=0,"zone géo ?",SUMIF($C$15:$C$36,$C60,K$15:K$36)*K$49*IF(ISNA(VLOOKUP(CONCATENATE($C60,K$38," ",$D$39),données!$AJ$3:$AK$74,2,0)),"",VLOOKUP(CONCATENATE($C60,K$38," ",$D$39),données!$AJ$3:$AK$74,2,0))))))))</f>
        <v/>
      </c>
      <c r="L60" s="161" t="str">
        <f>IF(OR(L$6=1,L$6="2s",L$6=3,L$6=4),"",IF(L$48="","",IF(L$48=16,0,IF(L$49="","",IF(OR(SUMIF($C$15:$C$36,$C60,L$15:L$36)=0,L$13&gt;0),0,IF(L$38=0,"zone géo ?",SUMIF($C$15:$C$36,$C60,L$15:L$36)*L$49*IF(ISNA(VLOOKUP(CONCATENATE($C60,L$38," ",$D$39),données!$AJ$3:$AK$74,2,0)),"",VLOOKUP(CONCATENATE($C60,L$38," ",$D$39),données!$AJ$3:$AK$74,2,0))))))))</f>
        <v/>
      </c>
      <c r="M60" s="161" t="str">
        <f>IF(OR(M$6=1,M$6="2s",M$6=3,M$6=4),"",IF(M$48="","",IF(M$48=16,0,IF(M$49="","",IF(OR(SUMIF($C$15:$C$36,$C60,M$15:M$36)=0,M$13&gt;0),0,IF(M$38=0,"zone géo ?",SUMIF($C$15:$C$36,$C60,M$15:M$36)*M$49*IF(ISNA(VLOOKUP(CONCATENATE($C60,M$38," ",$D$39),données!$AJ$3:$AK$74,2,0)),"",VLOOKUP(CONCATENATE($C60,M$38," ",$D$39),données!$AJ$3:$AK$74,2,0))))))))</f>
        <v/>
      </c>
      <c r="N60" s="161" t="str">
        <f>IF(OR(N$6=1,N$6="2s",N$6=3,N$6=4),"",IF(N$48="","",IF(N$48=16,0,IF(N$49="","",IF(OR(SUMIF($C$15:$C$36,$C60,N$15:N$36)=0,N$13&gt;0),0,IF(N$38=0,"zone géo ?",SUMIF($C$15:$C$36,$C60,N$15:N$36)*N$49*IF(ISNA(VLOOKUP(CONCATENATE($C60,N$38," ",$D$39),données!$AJ$3:$AK$74,2,0)),"",VLOOKUP(CONCATENATE($C60,N$38," ",$D$39),données!$AJ$3:$AK$74,2,0))))))))</f>
        <v/>
      </c>
      <c r="O60" s="161" t="str">
        <f>IF(OR(O$6=1,O$6="2s",O$6=3,O$6=4),"",IF(O$48="","",IF(O$48=16,0,IF(O$49="","",IF(OR(SUMIF($C$15:$C$36,$C60,O$15:O$36)=0,O$13&gt;0),0,IF(O$38=0,"zone géo ?",SUMIF($C$15:$C$36,$C60,O$15:O$36)*O$49*IF(ISNA(VLOOKUP(CONCATENATE($C60,O$38," ",$D$39),données!$AJ$3:$AK$74,2,0)),"",VLOOKUP(CONCATENATE($C60,O$38," ",$D$39),données!$AJ$3:$AK$74,2,0))))))))</f>
        <v/>
      </c>
      <c r="P60" s="161" t="str">
        <f>IF(OR(P$6=1,P$6="2s",P$6=3,P$6=4),"",IF(P$48="","",IF(P$48=16,0,IF(P$49="","",IF(OR(SUMIF($C$15:$C$36,$C60,P$15:P$36)=0,P$13&gt;0),0,IF(P$38=0,"zone géo ?",SUMIF($C$15:$C$36,$C60,P$15:P$36)*P$49*IF(ISNA(VLOOKUP(CONCATENATE($C60,P$38," ",$D$39),données!$AJ$3:$AK$74,2,0)),"",VLOOKUP(CONCATENATE($C60,P$38," ",$D$39),données!$AJ$3:$AK$74,2,0))))))))</f>
        <v/>
      </c>
      <c r="Q60" s="161" t="str">
        <f>IF(OR(Q$6=1,Q$6="2s",Q$6=3,Q$6=4),"",IF(Q$48="","",IF(Q$48=16,0,IF(Q$49="","",IF(OR(SUMIF($C$15:$C$36,$C60,Q$15:Q$36)=0,Q$13&gt;0),0,IF(Q$38=0,"zone géo ?",SUMIF($C$15:$C$36,$C60,Q$15:Q$36)*Q$49*IF(ISNA(VLOOKUP(CONCATENATE($C60,Q$38," ",$D$39),données!$AJ$3:$AK$74,2,0)),"",VLOOKUP(CONCATENATE($C60,Q$38," ",$D$39),données!$AJ$3:$AK$74,2,0))))))))</f>
        <v/>
      </c>
      <c r="R60" s="161" t="str">
        <f>IF(OR(R$6=1,R$6="2s",R$6=3,R$6=4),"",IF(R$48="","",IF(R$48=16,0,IF(R$49="","",IF(OR(SUMIF($C$15:$C$36,$C60,R$15:R$36)=0,R$13&gt;0),0,IF(R$38=0,"zone géo ?",SUMIF($C$15:$C$36,$C60,R$15:R$36)*R$49*IF(ISNA(VLOOKUP(CONCATENATE($C60,R$38," ",$D$39),données!$AJ$3:$AK$74,2,0)),"",VLOOKUP(CONCATENATE($C60,R$38," ",$D$39),données!$AJ$3:$AK$74,2,0))))))))</f>
        <v/>
      </c>
      <c r="S60" s="161" t="str">
        <f>IF(OR(S$6=1,S$6="2s",S$6=3,S$6=4),"",IF(S$48="","",IF(S$48=16,0,IF(S$49="","",IF(OR(SUMIF($C$15:$C$36,$C60,S$15:S$36)=0,S$13&gt;0),0,IF(S$38=0,"zone géo ?",SUMIF($C$15:$C$36,$C60,S$15:S$36)*S$49*IF(ISNA(VLOOKUP(CONCATENATE($C60,S$38," ",$D$39),données!$AJ$3:$AK$74,2,0)),"",VLOOKUP(CONCATENATE($C60,S$38," ",$D$39),données!$AJ$3:$AK$74,2,0))))))))</f>
        <v/>
      </c>
      <c r="T60" s="161" t="str">
        <f>IF(OR(T$6=1,T$6="2s",T$6=3,T$6=4),"",IF(T$48="","",IF(T$48=16,0,IF(T$49="","",IF(OR(SUMIF($C$15:$C$36,$C60,T$15:T$36)=0,T$13&gt;0),0,IF(T$38=0,"zone géo ?",SUMIF($C$15:$C$36,$C60,T$15:T$36)*T$49*IF(ISNA(VLOOKUP(CONCATENATE($C60,T$38," ",$D$39),données!$AJ$3:$AK$74,2,0)),"",VLOOKUP(CONCATENATE($C60,T$38," ",$D$39),données!$AJ$3:$AK$74,2,0))))))))</f>
        <v/>
      </c>
      <c r="U60" s="161" t="str">
        <f>IF(OR(U$6=1,U$6="2s",U$6=3,U$6=4),"",IF(U$48="","",IF(U$48=16,0,IF(U$49="","",IF(OR(SUMIF($C$15:$C$36,$C60,U$15:U$36)=0,U$13&gt;0),0,IF(U$38=0,"zone géo ?",SUMIF($C$15:$C$36,$C60,U$15:U$36)*U$49*IF(ISNA(VLOOKUP(CONCATENATE($C60,U$38," ",$D$39),données!$AJ$3:$AK$74,2,0)),"",VLOOKUP(CONCATENATE($C60,U$38," ",$D$39),données!$AJ$3:$AK$74,2,0))))))))</f>
        <v/>
      </c>
      <c r="V60" s="161" t="str">
        <f>IF(OR(V$6=1,V$6="2s",V$6=3,V$6=4),"",IF(V$48="","",IF(V$48=16,0,IF(V$49="","",IF(OR(SUMIF($C$15:$C$36,$C60,V$15:V$36)=0,V$13&gt;0),0,IF(V$38=0,"zone géo ?",SUMIF($C$15:$C$36,$C60,V$15:V$36)*V$49*IF(ISNA(VLOOKUP(CONCATENATE($C60,V$38," ",$D$39),données!$AJ$3:$AK$74,2,0)),"",VLOOKUP(CONCATENATE($C60,V$38," ",$D$39),données!$AJ$3:$AK$74,2,0))))))))</f>
        <v/>
      </c>
      <c r="W60" s="161" t="str">
        <f>IF(OR(W$6=1,W$6="2s",W$6=3,W$6=4),"",IF(W$48="","",IF(W$48=16,0,IF(W$49="","",IF(OR(SUMIF($C$15:$C$36,$C60,W$15:W$36)=0,W$13&gt;0),0,IF(W$38=0,"zone géo ?",SUMIF($C$15:$C$36,$C60,W$15:W$36)*W$49*IF(ISNA(VLOOKUP(CONCATENATE($C60,W$38," ",$D$39),données!$AJ$3:$AK$74,2,0)),"",VLOOKUP(CONCATENATE($C60,W$38," ",$D$39),données!$AJ$3:$AK$74,2,0))))))))</f>
        <v/>
      </c>
      <c r="X60" s="161" t="str">
        <f>IF(OR(X$6=1,X$6="2s",X$6=3,X$6=4),"",IF(X$48="","",IF(X$48=16,0,IF(X$49="","",IF(OR(SUMIF($C$15:$C$36,$C60,X$15:X$36)=0,X$13&gt;0),0,IF(X$38=0,"zone géo ?",SUMIF($C$15:$C$36,$C60,X$15:X$36)*X$49*IF(ISNA(VLOOKUP(CONCATENATE($C60,X$38," ",$D$39),données!$AJ$3:$AK$74,2,0)),"",VLOOKUP(CONCATENATE($C60,X$38," ",$D$39),données!$AJ$3:$AK$74,2,0))))))))</f>
        <v/>
      </c>
      <c r="Y60" s="161" t="str">
        <f>IF(OR(Y$6=1,Y$6="2s",Y$6=3,Y$6=4),"",IF(Y$48="","",IF(Y$48=16,0,IF(Y$49="","",IF(OR(SUMIF($C$15:$C$36,$C60,Y$15:Y$36)=0,Y$13&gt;0),0,IF(Y$38=0,"zone géo ?",SUMIF($C$15:$C$36,$C60,Y$15:Y$36)*Y$49*IF(ISNA(VLOOKUP(CONCATENATE($C60,Y$38," ",$D$39),données!$AJ$3:$AK$74,2,0)),"",VLOOKUP(CONCATENATE($C60,Y$38," ",$D$39),données!$AJ$3:$AK$74,2,0))))))))</f>
        <v/>
      </c>
      <c r="Z60" s="161" t="str">
        <f>IF(OR(Z$6=1,Z$6="2s",Z$6=3,Z$6=4),"",IF(Z$48="","",IF(Z$48=16,0,IF(Z$49="","",IF(OR(SUMIF($C$15:$C$36,$C60,Z$15:Z$36)=0,Z$13&gt;0),0,IF(Z$38=0,"zone géo ?",SUMIF($C$15:$C$36,$C60,Z$15:Z$36)*Z$49*IF(ISNA(VLOOKUP(CONCATENATE($C60,Z$38," ",$D$39),données!$AJ$3:$AK$74,2,0)),"",VLOOKUP(CONCATENATE($C60,Z$38," ",$D$39),données!$AJ$3:$AK$74,2,0))))))))</f>
        <v/>
      </c>
      <c r="AA60" s="246">
        <f t="shared" si="32"/>
        <v>0</v>
      </c>
      <c r="AB60" s="233"/>
      <c r="AC60" s="320"/>
      <c r="AD60" s="234"/>
    </row>
    <row r="61" spans="1:30">
      <c r="A61" s="622"/>
      <c r="B61" s="595"/>
      <c r="C61" s="30" t="s">
        <v>45</v>
      </c>
      <c r="D61" s="161" t="str">
        <f>IF(OR(D$6=1,D$6="2s",D$6=3,D$6=4),"",IF(D$48="","",IF(D$48=16,0,IF(D$49="","",IF(OR(SUMIF($C$15:$C$36,$C61,D$15:D$36)=0,D$13&gt;0),0,IF(D$38=0,"zone géo ?",SUMIF($C$15:$C$36,$C61,D$15:D$36)*D$49*IF(ISNA(VLOOKUP(CONCATENATE($C61,D$38," ",$D$39),données!$AJ$3:$AK$74,2,0)),"",VLOOKUP(CONCATENATE($C61,D$38," ",$D$39),données!$AJ$3:$AK$74,2,0))))))))</f>
        <v/>
      </c>
      <c r="E61" s="161" t="str">
        <f>IF(OR(E$6=1,E$6="2s",E$6=3,E$6=4),"",IF(E$48="","",IF(E$48=16,0,IF(E$49="","",IF(OR(SUMIF($C$15:$C$36,$C61,E$15:E$36)=0,E$13&gt;0),0,IF(E$38=0,"zone géo ?",SUMIF($C$15:$C$36,$C61,E$15:E$36)*E$49*IF(ISNA(VLOOKUP(CONCATENATE($C61,E$38," ",$D$39),données!$AJ$3:$AK$74,2,0)),"",VLOOKUP(CONCATENATE($C61,E$38," ",$D$39),données!$AJ$3:$AK$74,2,0))))))))</f>
        <v/>
      </c>
      <c r="F61" s="161" t="str">
        <f>IF(OR(F$6=1,F$6="2s",F$6=3,F$6=4),"",IF(F$48="","",IF(F$48=16,0,IF(F$49="","",IF(OR(SUMIF($C$15:$C$36,$C61,F$15:F$36)=0,F$13&gt;0),0,IF(F$38=0,"zone géo ?",SUMIF($C$15:$C$36,$C61,F$15:F$36)*F$49*IF(ISNA(VLOOKUP(CONCATENATE($C61,F$38," ",$D$39),données!$AJ$3:$AK$74,2,0)),"",VLOOKUP(CONCATENATE($C61,F$38," ",$D$39),données!$AJ$3:$AK$74,2,0))))))))</f>
        <v/>
      </c>
      <c r="G61" s="161" t="str">
        <f>IF(OR(G$6=1,G$6="2s",G$6=3,G$6=4),"",IF(G$48="","",IF(G$48=16,0,IF(G$49="","",IF(OR(SUMIF($C$15:$C$36,$C61,G$15:G$36)=0,G$13&gt;0),0,IF(G$38=0,"zone géo ?",SUMIF($C$15:$C$36,$C61,G$15:G$36)*G$49*IF(ISNA(VLOOKUP(CONCATENATE($C61,G$38," ",$D$39),données!$AJ$3:$AK$74,2,0)),"",VLOOKUP(CONCATENATE($C61,G$38," ",$D$39),données!$AJ$3:$AK$74,2,0))))))))</f>
        <v/>
      </c>
      <c r="H61" s="161" t="str">
        <f>IF(OR(H$6=1,H$6="2s",H$6=3,H$6=4),"",IF(H$48="","",IF(H$48=16,0,IF(H$49="","",IF(OR(SUMIF($C$15:$C$36,$C61,H$15:H$36)=0,H$13&gt;0),0,IF(H$38=0,"zone géo ?",SUMIF($C$15:$C$36,$C61,H$15:H$36)*H$49*IF(ISNA(VLOOKUP(CONCATENATE($C61,H$38," ",$D$39),données!$AJ$3:$AK$74,2,0)),"",VLOOKUP(CONCATENATE($C61,H$38," ",$D$39),données!$AJ$3:$AK$74,2,0))))))))</f>
        <v/>
      </c>
      <c r="I61" s="161" t="str">
        <f>IF(OR(I$6=1,I$6="2s",I$6=3,I$6=4),"",IF(I$48="","",IF(I$48=16,0,IF(I$49="","",IF(OR(SUMIF($C$15:$C$36,$C61,I$15:I$36)=0,I$13&gt;0),0,IF(I$38=0,"zone géo ?",SUMIF($C$15:$C$36,$C61,I$15:I$36)*I$49*IF(ISNA(VLOOKUP(CONCATENATE($C61,I$38," ",$D$39),données!$AJ$3:$AK$74,2,0)),"",VLOOKUP(CONCATENATE($C61,I$38," ",$D$39),données!$AJ$3:$AK$74,2,0))))))))</f>
        <v/>
      </c>
      <c r="J61" s="161" t="str">
        <f>IF(OR(J$6=1,J$6="2s",J$6=3,J$6=4),"",IF(J$48="","",IF(J$48=16,0,IF(J$49="","",IF(OR(SUMIF($C$15:$C$36,$C61,J$15:J$36)=0,J$13&gt;0),0,IF(J$38=0,"zone géo ?",SUMIF($C$15:$C$36,$C61,J$15:J$36)*J$49*IF(ISNA(VLOOKUP(CONCATENATE($C61,J$38," ",$D$39),données!$AJ$3:$AK$74,2,0)),"",VLOOKUP(CONCATENATE($C61,J$38," ",$D$39),données!$AJ$3:$AK$74,2,0))))))))</f>
        <v/>
      </c>
      <c r="K61" s="161" t="str">
        <f>IF(OR(K$6=1,K$6="2s",K$6=3,K$6=4),"",IF(K$48="","",IF(K$48=16,0,IF(K$49="","",IF(OR(SUMIF($C$15:$C$36,$C61,K$15:K$36)=0,K$13&gt;0),0,IF(K$38=0,"zone géo ?",SUMIF($C$15:$C$36,$C61,K$15:K$36)*K$49*IF(ISNA(VLOOKUP(CONCATENATE($C61,K$38," ",$D$39),données!$AJ$3:$AK$74,2,0)),"",VLOOKUP(CONCATENATE($C61,K$38," ",$D$39),données!$AJ$3:$AK$74,2,0))))))))</f>
        <v/>
      </c>
      <c r="L61" s="161" t="str">
        <f>IF(OR(L$6=1,L$6="2s",L$6=3,L$6=4),"",IF(L$48="","",IF(L$48=16,0,IF(L$49="","",IF(OR(SUMIF($C$15:$C$36,$C61,L$15:L$36)=0,L$13&gt;0),0,IF(L$38=0,"zone géo ?",SUMIF($C$15:$C$36,$C61,L$15:L$36)*L$49*IF(ISNA(VLOOKUP(CONCATENATE($C61,L$38," ",$D$39),données!$AJ$3:$AK$74,2,0)),"",VLOOKUP(CONCATENATE($C61,L$38," ",$D$39),données!$AJ$3:$AK$74,2,0))))))))</f>
        <v/>
      </c>
      <c r="M61" s="161" t="str">
        <f>IF(OR(M$6=1,M$6="2s",M$6=3,M$6=4),"",IF(M$48="","",IF(M$48=16,0,IF(M$49="","",IF(OR(SUMIF($C$15:$C$36,$C61,M$15:M$36)=0,M$13&gt;0),0,IF(M$38=0,"zone géo ?",SUMIF($C$15:$C$36,$C61,M$15:M$36)*M$49*IF(ISNA(VLOOKUP(CONCATENATE($C61,M$38," ",$D$39),données!$AJ$3:$AK$74,2,0)),"",VLOOKUP(CONCATENATE($C61,M$38," ",$D$39),données!$AJ$3:$AK$74,2,0))))))))</f>
        <v/>
      </c>
      <c r="N61" s="161" t="str">
        <f>IF(OR(N$6=1,N$6="2s",N$6=3,N$6=4),"",IF(N$48="","",IF(N$48=16,0,IF(N$49="","",IF(OR(SUMIF($C$15:$C$36,$C61,N$15:N$36)=0,N$13&gt;0),0,IF(N$38=0,"zone géo ?",SUMIF($C$15:$C$36,$C61,N$15:N$36)*N$49*IF(ISNA(VLOOKUP(CONCATENATE($C61,N$38," ",$D$39),données!$AJ$3:$AK$74,2,0)),"",VLOOKUP(CONCATENATE($C61,N$38," ",$D$39),données!$AJ$3:$AK$74,2,0))))))))</f>
        <v/>
      </c>
      <c r="O61" s="161" t="str">
        <f>IF(OR(O$6=1,O$6="2s",O$6=3,O$6=4),"",IF(O$48="","",IF(O$48=16,0,IF(O$49="","",IF(OR(SUMIF($C$15:$C$36,$C61,O$15:O$36)=0,O$13&gt;0),0,IF(O$38=0,"zone géo ?",SUMIF($C$15:$C$36,$C61,O$15:O$36)*O$49*IF(ISNA(VLOOKUP(CONCATENATE($C61,O$38," ",$D$39),données!$AJ$3:$AK$74,2,0)),"",VLOOKUP(CONCATENATE($C61,O$38," ",$D$39),données!$AJ$3:$AK$74,2,0))))))))</f>
        <v/>
      </c>
      <c r="P61" s="161" t="str">
        <f>IF(OR(P$6=1,P$6="2s",P$6=3,P$6=4),"",IF(P$48="","",IF(P$48=16,0,IF(P$49="","",IF(OR(SUMIF($C$15:$C$36,$C61,P$15:P$36)=0,P$13&gt;0),0,IF(P$38=0,"zone géo ?",SUMIF($C$15:$C$36,$C61,P$15:P$36)*P$49*IF(ISNA(VLOOKUP(CONCATENATE($C61,P$38," ",$D$39),données!$AJ$3:$AK$74,2,0)),"",VLOOKUP(CONCATENATE($C61,P$38," ",$D$39),données!$AJ$3:$AK$74,2,0))))))))</f>
        <v/>
      </c>
      <c r="Q61" s="161" t="str">
        <f>IF(OR(Q$6=1,Q$6="2s",Q$6=3,Q$6=4),"",IF(Q$48="","",IF(Q$48=16,0,IF(Q$49="","",IF(OR(SUMIF($C$15:$C$36,$C61,Q$15:Q$36)=0,Q$13&gt;0),0,IF(Q$38=0,"zone géo ?",SUMIF($C$15:$C$36,$C61,Q$15:Q$36)*Q$49*IF(ISNA(VLOOKUP(CONCATENATE($C61,Q$38," ",$D$39),données!$AJ$3:$AK$74,2,0)),"",VLOOKUP(CONCATENATE($C61,Q$38," ",$D$39),données!$AJ$3:$AK$74,2,0))))))))</f>
        <v/>
      </c>
      <c r="R61" s="161" t="str">
        <f>IF(OR(R$6=1,R$6="2s",R$6=3,R$6=4),"",IF(R$48="","",IF(R$48=16,0,IF(R$49="","",IF(OR(SUMIF($C$15:$C$36,$C61,R$15:R$36)=0,R$13&gt;0),0,IF(R$38=0,"zone géo ?",SUMIF($C$15:$C$36,$C61,R$15:R$36)*R$49*IF(ISNA(VLOOKUP(CONCATENATE($C61,R$38," ",$D$39),données!$AJ$3:$AK$74,2,0)),"",VLOOKUP(CONCATENATE($C61,R$38," ",$D$39),données!$AJ$3:$AK$74,2,0))))))))</f>
        <v/>
      </c>
      <c r="S61" s="161" t="str">
        <f>IF(OR(S$6=1,S$6="2s",S$6=3,S$6=4),"",IF(S$48="","",IF(S$48=16,0,IF(S$49="","",IF(OR(SUMIF($C$15:$C$36,$C61,S$15:S$36)=0,S$13&gt;0),0,IF(S$38=0,"zone géo ?",SUMIF($C$15:$C$36,$C61,S$15:S$36)*S$49*IF(ISNA(VLOOKUP(CONCATENATE($C61,S$38," ",$D$39),données!$AJ$3:$AK$74,2,0)),"",VLOOKUP(CONCATENATE($C61,S$38," ",$D$39),données!$AJ$3:$AK$74,2,0))))))))</f>
        <v/>
      </c>
      <c r="T61" s="161" t="str">
        <f>IF(OR(T$6=1,T$6="2s",T$6=3,T$6=4),"",IF(T$48="","",IF(T$48=16,0,IF(T$49="","",IF(OR(SUMIF($C$15:$C$36,$C61,T$15:T$36)=0,T$13&gt;0),0,IF(T$38=0,"zone géo ?",SUMIF($C$15:$C$36,$C61,T$15:T$36)*T$49*IF(ISNA(VLOOKUP(CONCATENATE($C61,T$38," ",$D$39),données!$AJ$3:$AK$74,2,0)),"",VLOOKUP(CONCATENATE($C61,T$38," ",$D$39),données!$AJ$3:$AK$74,2,0))))))))</f>
        <v/>
      </c>
      <c r="U61" s="161" t="str">
        <f>IF(OR(U$6=1,U$6="2s",U$6=3,U$6=4),"",IF(U$48="","",IF(U$48=16,0,IF(U$49="","",IF(OR(SUMIF($C$15:$C$36,$C61,U$15:U$36)=0,U$13&gt;0),0,IF(U$38=0,"zone géo ?",SUMIF($C$15:$C$36,$C61,U$15:U$36)*U$49*IF(ISNA(VLOOKUP(CONCATENATE($C61,U$38," ",$D$39),données!$AJ$3:$AK$74,2,0)),"",VLOOKUP(CONCATENATE($C61,U$38," ",$D$39),données!$AJ$3:$AK$74,2,0))))))))</f>
        <v/>
      </c>
      <c r="V61" s="161" t="str">
        <f>IF(OR(V$6=1,V$6="2s",V$6=3,V$6=4),"",IF(V$48="","",IF(V$48=16,0,IF(V$49="","",IF(OR(SUMIF($C$15:$C$36,$C61,V$15:V$36)=0,V$13&gt;0),0,IF(V$38=0,"zone géo ?",SUMIF($C$15:$C$36,$C61,V$15:V$36)*V$49*IF(ISNA(VLOOKUP(CONCATENATE($C61,V$38," ",$D$39),données!$AJ$3:$AK$74,2,0)),"",VLOOKUP(CONCATENATE($C61,V$38," ",$D$39),données!$AJ$3:$AK$74,2,0))))))))</f>
        <v/>
      </c>
      <c r="W61" s="161" t="str">
        <f>IF(OR(W$6=1,W$6="2s",W$6=3,W$6=4),"",IF(W$48="","",IF(W$48=16,0,IF(W$49="","",IF(OR(SUMIF($C$15:$C$36,$C61,W$15:W$36)=0,W$13&gt;0),0,IF(W$38=0,"zone géo ?",SUMIF($C$15:$C$36,$C61,W$15:W$36)*W$49*IF(ISNA(VLOOKUP(CONCATENATE($C61,W$38," ",$D$39),données!$AJ$3:$AK$74,2,0)),"",VLOOKUP(CONCATENATE($C61,W$38," ",$D$39),données!$AJ$3:$AK$74,2,0))))))))</f>
        <v/>
      </c>
      <c r="X61" s="161" t="str">
        <f>IF(OR(X$6=1,X$6="2s",X$6=3,X$6=4),"",IF(X$48="","",IF(X$48=16,0,IF(X$49="","",IF(OR(SUMIF($C$15:$C$36,$C61,X$15:X$36)=0,X$13&gt;0),0,IF(X$38=0,"zone géo ?",SUMIF($C$15:$C$36,$C61,X$15:X$36)*X$49*IF(ISNA(VLOOKUP(CONCATENATE($C61,X$38," ",$D$39),données!$AJ$3:$AK$74,2,0)),"",VLOOKUP(CONCATENATE($C61,X$38," ",$D$39),données!$AJ$3:$AK$74,2,0))))))))</f>
        <v/>
      </c>
      <c r="Y61" s="161" t="str">
        <f>IF(OR(Y$6=1,Y$6="2s",Y$6=3,Y$6=4),"",IF(Y$48="","",IF(Y$48=16,0,IF(Y$49="","",IF(OR(SUMIF($C$15:$C$36,$C61,Y$15:Y$36)=0,Y$13&gt;0),0,IF(Y$38=0,"zone géo ?",SUMIF($C$15:$C$36,$C61,Y$15:Y$36)*Y$49*IF(ISNA(VLOOKUP(CONCATENATE($C61,Y$38," ",$D$39),données!$AJ$3:$AK$74,2,0)),"",VLOOKUP(CONCATENATE($C61,Y$38," ",$D$39),données!$AJ$3:$AK$74,2,0))))))))</f>
        <v/>
      </c>
      <c r="Z61" s="161" t="str">
        <f>IF(OR(Z$6=1,Z$6="2s",Z$6=3,Z$6=4),"",IF(Z$48="","",IF(Z$48=16,0,IF(Z$49="","",IF(OR(SUMIF($C$15:$C$36,$C61,Z$15:Z$36)=0,Z$13&gt;0),0,IF(Z$38=0,"zone géo ?",SUMIF($C$15:$C$36,$C61,Z$15:Z$36)*Z$49*IF(ISNA(VLOOKUP(CONCATENATE($C61,Z$38," ",$D$39),données!$AJ$3:$AK$74,2,0)),"",VLOOKUP(CONCATENATE($C61,Z$38," ",$D$39),données!$AJ$3:$AK$74,2,0))))))))</f>
        <v/>
      </c>
      <c r="AA61" s="246">
        <f t="shared" si="32"/>
        <v>0</v>
      </c>
      <c r="AB61" s="231"/>
      <c r="AC61" s="319"/>
      <c r="AD61" s="232"/>
    </row>
    <row r="62" spans="1:30" ht="19" customHeight="1">
      <c r="A62" s="593" t="s">
        <v>302</v>
      </c>
      <c r="B62" s="593"/>
      <c r="C62" s="594"/>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46" t="str">
        <f t="shared" ref="AA62" si="33">IF(SUM(D62:Z62)=0,"",SUM(D62:Z62))</f>
        <v/>
      </c>
      <c r="AB62" s="233"/>
      <c r="AC62" s="320"/>
      <c r="AD62" s="234"/>
    </row>
    <row r="63" spans="1:30" ht="19" customHeight="1">
      <c r="A63" s="593" t="s">
        <v>472</v>
      </c>
      <c r="B63" s="593"/>
      <c r="C63" s="594"/>
      <c r="D63" s="34"/>
      <c r="E63" s="34"/>
      <c r="F63" s="34"/>
      <c r="G63" s="34"/>
      <c r="H63" s="34"/>
      <c r="I63" s="34"/>
      <c r="J63" s="34"/>
      <c r="K63" s="34"/>
      <c r="L63" s="34"/>
      <c r="M63" s="34"/>
      <c r="N63" s="34"/>
      <c r="O63" s="34"/>
      <c r="P63" s="34"/>
      <c r="Q63" s="34"/>
      <c r="R63" s="34"/>
      <c r="S63" s="34"/>
      <c r="T63" s="34"/>
      <c r="U63" s="34"/>
      <c r="V63" s="34"/>
      <c r="W63" s="34"/>
      <c r="X63" s="34"/>
      <c r="Y63" s="34"/>
      <c r="Z63" s="34"/>
      <c r="AA63" s="246"/>
      <c r="AB63" s="231"/>
      <c r="AC63" s="319"/>
      <c r="AD63" s="232"/>
    </row>
    <row r="64" spans="1:30" s="423" customFormat="1" ht="20.5" customHeight="1">
      <c r="A64" s="620" t="s">
        <v>133</v>
      </c>
      <c r="B64" s="620"/>
      <c r="C64" s="621"/>
      <c r="D64" s="418">
        <f>IF(D10="Devis",0,IF(OR(D$6=1,D$6="2s",D$6=3,D$6=4),0,IF(OR(D62="non",D62=""),0,IF(VLOOKUP(_xlfn.CONCAT(D38,$D$39),données!$AH$2:$AI$13,2,0),VLOOKUP(_xlfn.CONCAT(D38,$D$39),données!$AH$2:$AI$13,2,0),0)))*D63*D37)</f>
        <v>0</v>
      </c>
      <c r="E64" s="418">
        <f>IF(E10="Devis",0,IF(OR(E$6=1,E$6="2s",E$6=3,E$6=4),0,IF(OR(E62="non",E62=""),0,IF(VLOOKUP(_xlfn.CONCAT(E38,$D$39),données!$AH$2:$AI$13,2,0),VLOOKUP(_xlfn.CONCAT(E38,$D$39),données!$AH$2:$AI$13,2,0),0)))*E63*E37)</f>
        <v>0</v>
      </c>
      <c r="F64" s="418">
        <f>IF(F10="Devis",0,IF(OR(F$6=1,F$6="2s",F$6=3,F$6=4),0,IF(OR(F62="non",F62=""),0,IF(VLOOKUP(_xlfn.CONCAT(F38,$D$39),données!$AH$2:$AI$13,2,0),VLOOKUP(_xlfn.CONCAT(F38,$D$39),données!$AH$2:$AI$13,2,0),0)))*F63*F37)</f>
        <v>0</v>
      </c>
      <c r="G64" s="418">
        <f>IF(G10="Devis",0,IF(OR(G$6=1,G$6="2s",G$6=3,G$6=4),0,IF(OR(G62="non",G62=""),0,IF(VLOOKUP(_xlfn.CONCAT(G38,$D$39),données!$AH$2:$AI$13,2,0),VLOOKUP(_xlfn.CONCAT(G38,$D$39),données!$AH$2:$AI$13,2,0),0)))*G63*G37)</f>
        <v>0</v>
      </c>
      <c r="H64" s="418">
        <f>IF(H10="Devis",0,IF(OR(H$6=1,H$6="2s",H$6=3,H$6=4),0,IF(OR(H62="non",H62=""),0,IF(VLOOKUP(_xlfn.CONCAT(H38,$D$39),données!$AH$2:$AI$13,2,0),VLOOKUP(_xlfn.CONCAT(H38,$D$39),données!$AH$2:$AI$13,2,0),0)))*H63*H37)</f>
        <v>0</v>
      </c>
      <c r="I64" s="418">
        <f>IF(I10="Devis",0,IF(OR(I$6=1,I$6="2s",I$6=3,I$6=4),0,IF(OR(I62="non",I62=""),0,IF(VLOOKUP(_xlfn.CONCAT(I38,$D$39),données!$AH$2:$AI$13,2,0),VLOOKUP(_xlfn.CONCAT(I38,$D$39),données!$AH$2:$AI$13,2,0),0)))*I63*I37)</f>
        <v>0</v>
      </c>
      <c r="J64" s="418">
        <f>IF(J10="Devis",0,IF(OR(J$6=1,J$6="2s",J$6=3,J$6=4),0,IF(OR(J62="non",J62=""),0,IF(VLOOKUP(_xlfn.CONCAT(J38,$D$39),données!$AH$2:$AI$13,2,0),VLOOKUP(_xlfn.CONCAT(J38,$D$39),données!$AH$2:$AI$13,2,0),0)))*J63*J37)</f>
        <v>0</v>
      </c>
      <c r="K64" s="418">
        <f>IF(K10="Devis",0,IF(OR(K$6=1,K$6="2s",K$6=3,K$6=4),0,IF(OR(K62="non",K62=""),0,IF(VLOOKUP(_xlfn.CONCAT(K38,$D$39),données!$AH$2:$AI$13,2,0),VLOOKUP(_xlfn.CONCAT(K38,$D$39),données!$AH$2:$AI$13,2,0),0)))*K63*K37)</f>
        <v>0</v>
      </c>
      <c r="L64" s="418">
        <f>IF(L10="Devis",0,IF(OR(L$6=1,L$6="2s",L$6=3,L$6=4),0,IF(OR(L62="non",L62=""),0,IF(VLOOKUP(_xlfn.CONCAT(L38,$D$39),données!$AH$2:$AI$13,2,0),VLOOKUP(_xlfn.CONCAT(L38,$D$39),données!$AH$2:$AI$13,2,0),0)))*L63*L37)</f>
        <v>0</v>
      </c>
      <c r="M64" s="418">
        <f>IF(M10="Devis",0,IF(OR(M$6=1,M$6="2s",M$6=3,M$6=4),0,IF(OR(M62="non",M62=""),0,IF(VLOOKUP(_xlfn.CONCAT(M38,$D$39),données!$AH$2:$AI$13,2,0),VLOOKUP(_xlfn.CONCAT(M38,$D$39),données!$AH$2:$AI$13,2,0),0)))*M63*M37)</f>
        <v>0</v>
      </c>
      <c r="N64" s="418">
        <f>IF(N10="Devis",0,IF(OR(N$6=1,N$6="2s",N$6=3,N$6=4),0,IF(OR(N62="non",N62=""),0,IF(VLOOKUP(_xlfn.CONCAT(N38,$D$39),données!$AH$2:$AI$13,2,0),VLOOKUP(_xlfn.CONCAT(N38,$D$39),données!$AH$2:$AI$13,2,0),0)))*N63*N37)</f>
        <v>0</v>
      </c>
      <c r="O64" s="418">
        <f>IF(O10="Devis",0,IF(OR(O$6=1,O$6="2s",O$6=3,O$6=4),0,IF(OR(O62="non",O62=""),0,IF(VLOOKUP(_xlfn.CONCAT(O38,$D$39),données!$AH$2:$AI$13,2,0),VLOOKUP(_xlfn.CONCAT(O38,$D$39),données!$AH$2:$AI$13,2,0),0)))*O63*O37)</f>
        <v>0</v>
      </c>
      <c r="P64" s="418">
        <f>IF(P10="Devis",0,IF(OR(P$6=1,P$6="2s",P$6=3,P$6=4),0,IF(OR(P62="non",P62=""),0,IF(VLOOKUP(_xlfn.CONCAT(P38,$D$39),données!$AH$2:$AI$13,2,0),VLOOKUP(_xlfn.CONCAT(P38,$D$39),données!$AH$2:$AI$13,2,0),0)))*P63*P37)</f>
        <v>0</v>
      </c>
      <c r="Q64" s="418">
        <f>IF(Q10="Devis",0,IF(OR(Q$6=1,Q$6="2s",Q$6=3,Q$6=4),0,IF(OR(Q62="non",Q62=""),0,IF(VLOOKUP(_xlfn.CONCAT(Q38,$D$39),données!$AH$2:$AI$13,2,0),VLOOKUP(_xlfn.CONCAT(Q38,$D$39),données!$AH$2:$AI$13,2,0),0)))*Q63*Q37)</f>
        <v>0</v>
      </c>
      <c r="R64" s="418">
        <f>IF(R10="Devis",0,IF(OR(R$6=1,R$6="2s",R$6=3,R$6=4),0,IF(OR(R62="non",R62=""),0,IF(VLOOKUP(_xlfn.CONCAT(R38,$D$39),données!$AH$2:$AI$13,2,0),VLOOKUP(_xlfn.CONCAT(R38,$D$39),données!$AH$2:$AI$13,2,0),0)))*R63*R37)</f>
        <v>0</v>
      </c>
      <c r="S64" s="418">
        <f>IF(S10="Devis",0,IF(OR(S$6=1,S$6="2s",S$6=3,S$6=4),0,IF(OR(S62="non",S62=""),0,IF(VLOOKUP(_xlfn.CONCAT(S38,$D$39),données!$AH$2:$AI$13,2,0),VLOOKUP(_xlfn.CONCAT(S38,$D$39),données!$AH$2:$AI$13,2,0),0)))*S63*S37)</f>
        <v>0</v>
      </c>
      <c r="T64" s="418">
        <f>IF(T10="Devis",0,IF(OR(T$6=1,T$6="2s",T$6=3,T$6=4),0,IF(OR(T62="non",T62=""),0,IF(VLOOKUP(_xlfn.CONCAT(T38,$D$39),données!$AH$2:$AI$13,2,0),VLOOKUP(_xlfn.CONCAT(T38,$D$39),données!$AH$2:$AI$13,2,0),0)))*T63*T37)</f>
        <v>0</v>
      </c>
      <c r="U64" s="418">
        <f>IF(U10="Devis",0,IF(OR(U$6=1,U$6="2s",U$6=3,U$6=4),0,IF(OR(U62="non",U62=""),0,IF(VLOOKUP(_xlfn.CONCAT(U38,$D$39),données!$AH$2:$AI$13,2,0),VLOOKUP(_xlfn.CONCAT(U38,$D$39),données!$AH$2:$AI$13,2,0),0)))*U63*U37)</f>
        <v>0</v>
      </c>
      <c r="V64" s="418">
        <f>IF(V10="Devis",0,IF(OR(V$6=1,V$6="2s",V$6=3,V$6=4),0,IF(OR(V62="non",V62=""),0,IF(VLOOKUP(_xlfn.CONCAT(V38,$D$39),données!$AH$2:$AI$13,2,0),VLOOKUP(_xlfn.CONCAT(V38,$D$39),données!$AH$2:$AI$13,2,0),0)))*V63*V37)</f>
        <v>0</v>
      </c>
      <c r="W64" s="418">
        <f>IF(W10="Devis",0,IF(OR(W$6=1,W$6="2s",W$6=3,W$6=4),0,IF(OR(W62="non",W62=""),0,IF(VLOOKUP(_xlfn.CONCAT(W38,$D$39),données!$AH$2:$AI$13,2,0),VLOOKUP(_xlfn.CONCAT(W38,$D$39),données!$AH$2:$AI$13,2,0),0)))*W63*W37)</f>
        <v>0</v>
      </c>
      <c r="X64" s="418">
        <f>IF(X10="Devis",0,IF(OR(X$6=1,X$6="2s",X$6=3,X$6=4),0,IF(OR(X62="non",X62=""),0,IF(VLOOKUP(_xlfn.CONCAT(X38,$D$39),données!$AH$2:$AI$13,2,0),VLOOKUP(_xlfn.CONCAT(X38,$D$39),données!$AH$2:$AI$13,2,0),0)))*X63*X37)</f>
        <v>0</v>
      </c>
      <c r="Y64" s="418">
        <f>IF(Y10="Devis",0,IF(OR(Y$6=1,Y$6="2s",Y$6=3,Y$6=4),0,IF(OR(Y62="non",Y62=""),0,IF(VLOOKUP(_xlfn.CONCAT(Y38,$D$39),données!$AH$2:$AI$13,2,0),VLOOKUP(_xlfn.CONCAT(Y38,$D$39),données!$AH$2:$AI$13,2,0),0)))*Y63*Y37)</f>
        <v>0</v>
      </c>
      <c r="Z64" s="418">
        <f>IF(Z10="Devis",0,IF(OR(Z$6=1,Z$6="2s",Z$6=3,Z$6=4),0,IF(OR(Z62="non",Z62=""),0,IF(VLOOKUP(_xlfn.CONCAT(Z38,$D$39),données!$AH$2:$AI$13,2,0),VLOOKUP(_xlfn.CONCAT(Z38,$D$39),données!$AH$2:$AI$13,2,0),0)))*Z63*Z37)</f>
        <v>0</v>
      </c>
      <c r="AA64" s="419">
        <f>IF(SUM(D64:Z64)=0,0,SUM(D64:Z64))</f>
        <v>0</v>
      </c>
      <c r="AB64" s="420"/>
      <c r="AC64" s="421"/>
      <c r="AD64" s="422"/>
    </row>
    <row r="65" spans="1:30">
      <c r="A65" s="163"/>
      <c r="B65" s="557" t="s">
        <v>134</v>
      </c>
      <c r="C65" s="558"/>
      <c r="D65" s="33"/>
      <c r="E65" s="33"/>
      <c r="F65" s="33"/>
      <c r="G65" s="33"/>
      <c r="H65" s="33"/>
      <c r="I65" s="33"/>
      <c r="J65" s="33"/>
      <c r="K65" s="33"/>
      <c r="L65" s="33"/>
      <c r="M65" s="33"/>
      <c r="N65" s="33"/>
      <c r="O65" s="33"/>
      <c r="P65" s="33"/>
      <c r="Q65" s="33"/>
      <c r="R65" s="33"/>
      <c r="S65" s="33"/>
      <c r="T65" s="33"/>
      <c r="U65" s="33"/>
      <c r="V65" s="33"/>
      <c r="W65" s="33"/>
      <c r="X65" s="33"/>
      <c r="Y65" s="33"/>
      <c r="Z65" s="33"/>
      <c r="AA65" s="37">
        <f t="shared" ref="AA65:AA66" si="34">SUM(D65:Z65)</f>
        <v>0</v>
      </c>
      <c r="AB65" s="231"/>
      <c r="AC65" s="319"/>
      <c r="AD65" s="232"/>
    </row>
    <row r="66" spans="1:30">
      <c r="A66" s="163"/>
      <c r="B66" s="633" t="s">
        <v>135</v>
      </c>
      <c r="C66" s="634"/>
      <c r="D66" s="36">
        <f t="shared" ref="D66:Z66" si="35">IF(AND(D$13&gt;0,D65=0),"coût devis ?",IF(AND(D13=0,D65&gt;0),"surface ilot ?",IF(OR(D65="", D13=""), 0,D65*D14)))</f>
        <v>0</v>
      </c>
      <c r="E66" s="36">
        <f t="shared" si="35"/>
        <v>0</v>
      </c>
      <c r="F66" s="36">
        <f t="shared" si="35"/>
        <v>0</v>
      </c>
      <c r="G66" s="36">
        <f t="shared" si="35"/>
        <v>0</v>
      </c>
      <c r="H66" s="36">
        <f t="shared" si="35"/>
        <v>0</v>
      </c>
      <c r="I66" s="36">
        <f t="shared" si="35"/>
        <v>0</v>
      </c>
      <c r="J66" s="36">
        <f t="shared" si="35"/>
        <v>0</v>
      </c>
      <c r="K66" s="36">
        <f t="shared" si="35"/>
        <v>0</v>
      </c>
      <c r="L66" s="36">
        <f t="shared" si="35"/>
        <v>0</v>
      </c>
      <c r="M66" s="36">
        <f t="shared" si="35"/>
        <v>0</v>
      </c>
      <c r="N66" s="36">
        <f t="shared" si="35"/>
        <v>0</v>
      </c>
      <c r="O66" s="36">
        <f t="shared" si="35"/>
        <v>0</v>
      </c>
      <c r="P66" s="36">
        <f t="shared" si="35"/>
        <v>0</v>
      </c>
      <c r="Q66" s="36">
        <f t="shared" si="35"/>
        <v>0</v>
      </c>
      <c r="R66" s="36">
        <f t="shared" si="35"/>
        <v>0</v>
      </c>
      <c r="S66" s="36">
        <f t="shared" si="35"/>
        <v>0</v>
      </c>
      <c r="T66" s="36">
        <f t="shared" si="35"/>
        <v>0</v>
      </c>
      <c r="U66" s="36">
        <f t="shared" si="35"/>
        <v>0</v>
      </c>
      <c r="V66" s="36">
        <f t="shared" si="35"/>
        <v>0</v>
      </c>
      <c r="W66" s="36">
        <f t="shared" si="35"/>
        <v>0</v>
      </c>
      <c r="X66" s="36">
        <f t="shared" si="35"/>
        <v>0</v>
      </c>
      <c r="Y66" s="36">
        <f t="shared" si="35"/>
        <v>0</v>
      </c>
      <c r="Z66" s="36">
        <f t="shared" si="35"/>
        <v>0</v>
      </c>
      <c r="AA66" s="37">
        <f t="shared" si="34"/>
        <v>0</v>
      </c>
      <c r="AB66" s="235"/>
      <c r="AC66" s="321"/>
      <c r="AD66" s="236"/>
    </row>
    <row r="67" spans="1:30" ht="15" thickBot="1">
      <c r="A67" s="304"/>
      <c r="B67" s="635" t="s">
        <v>136</v>
      </c>
      <c r="C67" s="635"/>
      <c r="D67" s="300">
        <f t="shared" ref="D67:Z67" si="36">IF(D$6="",0,IF(D$6="2f",IF(OR(D49="",D48=""),"erreur",(SUM(D50:D61)+D$64+D$66)),(SUM(D40:D47)+D$66)))</f>
        <v>0</v>
      </c>
      <c r="E67" s="300">
        <f>IF(E$6="",0,IF(E$6="2f",IF(OR(E49="",E48=""),"erreur",(SUM(E50:E61)+E$64+E$66)),(SUM(E40:E47)+E$66)))</f>
        <v>0</v>
      </c>
      <c r="F67" s="300">
        <f t="shared" si="36"/>
        <v>0</v>
      </c>
      <c r="G67" s="300">
        <f t="shared" si="36"/>
        <v>0</v>
      </c>
      <c r="H67" s="300">
        <f t="shared" si="36"/>
        <v>0</v>
      </c>
      <c r="I67" s="300">
        <f t="shared" si="36"/>
        <v>0</v>
      </c>
      <c r="J67" s="300">
        <f t="shared" si="36"/>
        <v>0</v>
      </c>
      <c r="K67" s="300">
        <f t="shared" si="36"/>
        <v>0</v>
      </c>
      <c r="L67" s="300">
        <f t="shared" si="36"/>
        <v>0</v>
      </c>
      <c r="M67" s="300">
        <f t="shared" si="36"/>
        <v>0</v>
      </c>
      <c r="N67" s="300">
        <f t="shared" si="36"/>
        <v>0</v>
      </c>
      <c r="O67" s="300">
        <f t="shared" si="36"/>
        <v>0</v>
      </c>
      <c r="P67" s="300">
        <f t="shared" si="36"/>
        <v>0</v>
      </c>
      <c r="Q67" s="300">
        <f t="shared" si="36"/>
        <v>0</v>
      </c>
      <c r="R67" s="300">
        <f t="shared" si="36"/>
        <v>0</v>
      </c>
      <c r="S67" s="300">
        <f t="shared" si="36"/>
        <v>0</v>
      </c>
      <c r="T67" s="300">
        <f t="shared" si="36"/>
        <v>0</v>
      </c>
      <c r="U67" s="300">
        <f t="shared" si="36"/>
        <v>0</v>
      </c>
      <c r="V67" s="300">
        <f t="shared" si="36"/>
        <v>0</v>
      </c>
      <c r="W67" s="300">
        <f t="shared" si="36"/>
        <v>0</v>
      </c>
      <c r="X67" s="300">
        <f t="shared" si="36"/>
        <v>0</v>
      </c>
      <c r="Y67" s="300">
        <f t="shared" si="36"/>
        <v>0</v>
      </c>
      <c r="Z67" s="300">
        <f t="shared" si="36"/>
        <v>0</v>
      </c>
      <c r="AA67" s="301">
        <f>SUM(D67:Z67)</f>
        <v>0</v>
      </c>
      <c r="AB67" s="302">
        <f>AA67-AD67</f>
        <v>0</v>
      </c>
      <c r="AC67" s="322"/>
      <c r="AD67" s="303">
        <f>AA66</f>
        <v>0</v>
      </c>
    </row>
    <row r="68" spans="1:30" ht="15" thickBot="1">
      <c r="A68" s="464" t="s">
        <v>137</v>
      </c>
      <c r="B68" s="597" t="s">
        <v>458</v>
      </c>
      <c r="C68" s="598"/>
      <c r="D68" s="311"/>
      <c r="E68" s="311"/>
      <c r="F68" s="311"/>
      <c r="G68" s="311"/>
      <c r="H68" s="311"/>
      <c r="I68" s="311"/>
      <c r="J68" s="311"/>
      <c r="K68" s="311"/>
      <c r="L68" s="311"/>
      <c r="M68" s="311"/>
      <c r="N68" s="311"/>
      <c r="O68" s="311"/>
      <c r="P68" s="311"/>
      <c r="Q68" s="311"/>
      <c r="R68" s="311"/>
      <c r="S68" s="311"/>
      <c r="T68" s="311"/>
      <c r="U68" s="311"/>
      <c r="V68" s="311"/>
      <c r="W68" s="311"/>
      <c r="X68" s="311"/>
      <c r="Y68" s="311"/>
      <c r="Z68" s="311"/>
      <c r="AA68" s="297"/>
      <c r="AB68" s="298"/>
      <c r="AC68" s="323"/>
      <c r="AD68" s="299"/>
    </row>
    <row r="69" spans="1:30" ht="15" thickBot="1">
      <c r="A69" s="464"/>
      <c r="B69" s="599" t="s">
        <v>138</v>
      </c>
      <c r="C69" s="600"/>
      <c r="D69" s="8"/>
      <c r="E69" s="9"/>
      <c r="F69" s="9"/>
      <c r="G69" s="9"/>
      <c r="H69" s="9"/>
      <c r="I69" s="10"/>
      <c r="J69" s="10"/>
      <c r="K69" s="10"/>
      <c r="L69" s="10"/>
      <c r="M69" s="10"/>
      <c r="N69" s="10"/>
      <c r="O69" s="10"/>
      <c r="P69" s="10"/>
      <c r="Q69" s="10"/>
      <c r="R69" s="10"/>
      <c r="S69" s="10"/>
      <c r="T69" s="10"/>
      <c r="U69" s="10"/>
      <c r="V69" s="10"/>
      <c r="W69" s="10"/>
      <c r="X69" s="10"/>
      <c r="Y69" s="10"/>
      <c r="Z69" s="11"/>
      <c r="AA69" s="250">
        <f>IF(SUM(D69:Z69)=0,0,SUM(D69:Z69))</f>
        <v>0</v>
      </c>
      <c r="AB69" s="247">
        <f>AA69-AD69</f>
        <v>0</v>
      </c>
      <c r="AC69" s="324"/>
      <c r="AD69" s="248">
        <f>SUMIF(D71:Z71,"&gt;0",D69:Z69)</f>
        <v>0</v>
      </c>
    </row>
    <row r="70" spans="1:30" ht="15" thickBot="1">
      <c r="A70" s="464"/>
      <c r="B70" s="599" t="s">
        <v>139</v>
      </c>
      <c r="C70" s="600"/>
      <c r="D70" s="38" t="str">
        <f>IF(D68=0,"",IF(SUMIF($D$68:$Z$68,D68,$D$69:$Z$69)&lt;4,"&lt; 4ha",IF(SUMIF($D$68:$Z$68,D68,$D$69:$Z$69)&gt;10,"&gt; 10ha","4-10ha")))</f>
        <v/>
      </c>
      <c r="E70" s="38" t="str">
        <f t="shared" ref="E70:Z70" si="37">IF(E68=0,"",IF(SUMIF($D$68:$Z$68,E68,$D$69:$Z$69)&lt;4,"&lt; 4ha",IF(SUMIF($D$68:$Z$68,E68,$D$69:$Z$69)&gt;10,"&gt; 10ha","4-10ha")))</f>
        <v/>
      </c>
      <c r="F70" s="38" t="str">
        <f t="shared" si="37"/>
        <v/>
      </c>
      <c r="G70" s="38" t="str">
        <f t="shared" si="37"/>
        <v/>
      </c>
      <c r="H70" s="38" t="str">
        <f t="shared" si="37"/>
        <v/>
      </c>
      <c r="I70" s="38" t="str">
        <f t="shared" si="37"/>
        <v/>
      </c>
      <c r="J70" s="38" t="str">
        <f t="shared" si="37"/>
        <v/>
      </c>
      <c r="K70" s="38" t="str">
        <f t="shared" si="37"/>
        <v/>
      </c>
      <c r="L70" s="38" t="str">
        <f t="shared" si="37"/>
        <v/>
      </c>
      <c r="M70" s="38" t="str">
        <f t="shared" si="37"/>
        <v/>
      </c>
      <c r="N70" s="38" t="str">
        <f t="shared" si="37"/>
        <v/>
      </c>
      <c r="O70" s="38" t="str">
        <f t="shared" si="37"/>
        <v/>
      </c>
      <c r="P70" s="38" t="str">
        <f t="shared" si="37"/>
        <v/>
      </c>
      <c r="Q70" s="38" t="str">
        <f t="shared" si="37"/>
        <v/>
      </c>
      <c r="R70" s="38" t="str">
        <f t="shared" si="37"/>
        <v/>
      </c>
      <c r="S70" s="38" t="str">
        <f t="shared" si="37"/>
        <v/>
      </c>
      <c r="T70" s="38" t="str">
        <f t="shared" si="37"/>
        <v/>
      </c>
      <c r="U70" s="38" t="str">
        <f t="shared" si="37"/>
        <v/>
      </c>
      <c r="V70" s="38" t="str">
        <f t="shared" si="37"/>
        <v/>
      </c>
      <c r="W70" s="38" t="str">
        <f t="shared" si="37"/>
        <v/>
      </c>
      <c r="X70" s="38" t="str">
        <f t="shared" si="37"/>
        <v/>
      </c>
      <c r="Y70" s="38" t="str">
        <f t="shared" si="37"/>
        <v/>
      </c>
      <c r="Z70" s="38" t="str">
        <f t="shared" si="37"/>
        <v/>
      </c>
      <c r="AA70" s="250" t="str">
        <f t="shared" ref="AA70:AA83" si="38">IF(SUM(D70:Z70)=0,"",SUM(D70:Z70))</f>
        <v/>
      </c>
      <c r="AB70" s="237"/>
      <c r="AC70" s="325"/>
      <c r="AD70" s="238"/>
    </row>
    <row r="71" spans="1:30" ht="15" thickBot="1">
      <c r="A71" s="464"/>
      <c r="B71" s="557" t="s">
        <v>134</v>
      </c>
      <c r="C71" s="558"/>
      <c r="D71" s="32"/>
      <c r="E71" s="33"/>
      <c r="F71" s="33"/>
      <c r="G71" s="33"/>
      <c r="H71" s="33"/>
      <c r="I71" s="34"/>
      <c r="J71" s="34"/>
      <c r="K71" s="34"/>
      <c r="L71" s="34"/>
      <c r="M71" s="34"/>
      <c r="N71" s="34"/>
      <c r="O71" s="34"/>
      <c r="P71" s="34"/>
      <c r="Q71" s="34"/>
      <c r="R71" s="34"/>
      <c r="S71" s="34"/>
      <c r="T71" s="34"/>
      <c r="U71" s="34"/>
      <c r="V71" s="34"/>
      <c r="W71" s="34"/>
      <c r="X71" s="34"/>
      <c r="Y71" s="34"/>
      <c r="Z71" s="35"/>
      <c r="AA71" s="250" t="str">
        <f t="shared" si="38"/>
        <v/>
      </c>
      <c r="AB71" s="237"/>
      <c r="AC71" s="325"/>
      <c r="AD71" s="238"/>
    </row>
    <row r="72" spans="1:30" ht="15" thickBot="1">
      <c r="A72" s="464"/>
      <c r="B72" s="601" t="s">
        <v>304</v>
      </c>
      <c r="C72" s="602"/>
      <c r="D72" s="39">
        <f>IF(OR(D$6="",D68=""),0,IF(D$6="2f",0,IF(OR(D$6=1,D$6="2s"),IF(D38=0,"zone geo",IF(OR(D38="A",D38="B",D38="E"),0,IF(D68="","",IF(VLOOKUP(CONCATENATE(D38,D68,D70),données!$AP$9:$AQ$32,2,0),VLOOKUP(CONCATENATE(D38,D68,D70),données!$AP$9:$AQ$32,2,0))))))))</f>
        <v>0</v>
      </c>
      <c r="E72" s="39">
        <f>IF(OR(E$6="",E68=""),0,IF(E$6="2f",0,IF(OR(E$6=1,E$6="2s"),IF(E38=0,"zone geo",IF(OR(E38="A",E38="B",E38="E"),0,IF(E68="","",IF(VLOOKUP(CONCATENATE(E38,E68,E70),données!$AP$9:$AQ$32,2,0),VLOOKUP(CONCATENATE(E38,E68,E70),données!$AP$9:$AQ$32,2,0))))))))</f>
        <v>0</v>
      </c>
      <c r="F72" s="39">
        <f>IF(OR(F$6="",F68=""),0,IF(F$6="2f",0,IF(OR(F$6=1,F$6="2s"),IF(F38=0,"zone geo",IF(OR(F38="A",F38="B",F38="E"),0,IF(F68="","",IF(VLOOKUP(CONCATENATE(F38,F68,F70),données!$AP$9:$AQ$32,2,0),VLOOKUP(CONCATENATE(F38,F68,F70),données!$AP$9:$AQ$32,2,0))))))))</f>
        <v>0</v>
      </c>
      <c r="G72" s="39">
        <f>IF(OR(G$6="",G68=""),0,IF(G$6="2f",0,IF(OR(G$6=1,G$6="2s"),IF(G38=0,"zone geo",IF(OR(G38="A",G38="B",G38="E"),0,IF(G68="","",IF(VLOOKUP(CONCATENATE(G38,G68,G70),données!$AP$9:$AQ$32,2,0),VLOOKUP(CONCATENATE(G38,G68,G70),données!$AP$9:$AQ$32,2,0))))))))</f>
        <v>0</v>
      </c>
      <c r="H72" s="39">
        <f>IF(OR(H$6="",H68=""),0,IF(H$6="2f",0,IF(OR(H$6=1,H$6="2s"),IF(H38=0,"zone geo",IF(OR(H38="A",H38="B",H38="E"),0,IF(H68="","",IF(VLOOKUP(CONCATENATE(H38,H68,H70),données!$AP$9:$AQ$32,2,0),VLOOKUP(CONCATENATE(H38,H68,H70),données!$AP$9:$AQ$32,2,0))))))))</f>
        <v>0</v>
      </c>
      <c r="I72" s="39">
        <f>IF(OR(I$6="",I68=""),0,IF(I$6="2f",0,IF(OR(I$6=1,I$6="2s"),IF(I38=0,"zone geo",IF(OR(I38="A",I38="B",I38="E"),0,IF(I68="","",IF(VLOOKUP(CONCATENATE(I38,I68,I70),données!$AP$9:$AQ$32,2,0),VLOOKUP(CONCATENATE(I38,I68,I70),données!$AP$9:$AQ$32,2,0))))))))</f>
        <v>0</v>
      </c>
      <c r="J72" s="39">
        <f>IF(OR(J$6="",J68=""),0,IF(J$6="2f",0,IF(OR(J$6=1,J$6="2s"),IF(J38=0,"zone geo",IF(OR(J38="A",J38="B",J38="E"),0,IF(J68="","",IF(VLOOKUP(CONCATENATE(J38,J68,J70),données!$AP$9:$AQ$32,2,0),VLOOKUP(CONCATENATE(J38,J68,J70),données!$AP$9:$AQ$32,2,0))))))))</f>
        <v>0</v>
      </c>
      <c r="K72" s="39">
        <f>IF(OR(K$6="",K68=""),0,IF(K$6="2f",0,IF(OR(K$6=1,K$6="2s"),IF(K38=0,"zone geo",IF(OR(K38="A",K38="B",K38="E"),0,IF(K68="","",IF(VLOOKUP(CONCATENATE(K38,K68,K70),données!$AP$9:$AQ$32,2,0),VLOOKUP(CONCATENATE(K38,K68,K70),données!$AP$9:$AQ$32,2,0))))))))</f>
        <v>0</v>
      </c>
      <c r="L72" s="39">
        <f>IF(OR(L$6="",L68=""),0,IF(L$6="2f",0,IF(OR(L$6=1,L$6="2s"),IF(L38=0,"zone geo",IF(OR(L38="A",L38="B",L38="E"),0,IF(L68="","",IF(VLOOKUP(CONCATENATE(L38,L68,L70),données!$AP$9:$AQ$32,2,0),VLOOKUP(CONCATENATE(L38,L68,L70),données!$AP$9:$AQ$32,2,0))))))))</f>
        <v>0</v>
      </c>
      <c r="M72" s="39">
        <f>IF(OR(M$6="",M68=""),0,IF(M$6="2f",0,IF(OR(M$6=1,M$6="2s"),IF(M38=0,"zone geo",IF(OR(M38="A",M38="B",M38="E"),0,IF(M68="","",IF(VLOOKUP(CONCATENATE(M38,M68,M70),données!$AP$9:$AQ$32,2,0),VLOOKUP(CONCATENATE(M38,M68,M70),données!$AP$9:$AQ$32,2,0))))))))</f>
        <v>0</v>
      </c>
      <c r="N72" s="39">
        <f>IF(OR(N$6="",N68=""),0,IF(N$6="2f",0,IF(OR(N$6=1,N$6="2s"),IF(N38=0,"zone geo",IF(OR(N38="A",N38="B",N38="E"),0,IF(N68="","",IF(VLOOKUP(CONCATENATE(N38,N68,N70),données!$AP$9:$AQ$32,2,0),VLOOKUP(CONCATENATE(N38,N68,N70),données!$AP$9:$AQ$32,2,0))))))))</f>
        <v>0</v>
      </c>
      <c r="O72" s="39">
        <f>IF(OR(O$6="",O68=""),0,IF(O$6="2f",0,IF(OR(O$6=1,O$6="2s"),IF(O38=0,"zone geo",IF(OR(O38="A",O38="B",O38="E"),0,IF(O68="","",IF(VLOOKUP(CONCATENATE(O38,O68,O70),données!$AP$9:$AQ$32,2,0),VLOOKUP(CONCATENATE(O38,O68,O70),données!$AP$9:$AQ$32,2,0))))))))</f>
        <v>0</v>
      </c>
      <c r="P72" s="39">
        <f>IF(OR(P$6="",P68=""),0,IF(P$6="2f",0,IF(OR(P$6=1,P$6="2s"),IF(P38=0,"zone geo",IF(OR(P38="A",P38="B",P38="E"),0,IF(P68="","",IF(VLOOKUP(CONCATENATE(P38,P68,P70),données!$AP$9:$AQ$32,2,0),VLOOKUP(CONCATENATE(P38,P68,P70),données!$AP$9:$AQ$32,2,0))))))))</f>
        <v>0</v>
      </c>
      <c r="Q72" s="39">
        <f>IF(OR(Q$6="",Q68=""),0,IF(Q$6="2f",0,IF(OR(Q$6=1,Q$6="2s"),IF(Q38=0,"zone geo",IF(OR(Q38="A",Q38="B",Q38="E"),0,IF(Q68="","",IF(VLOOKUP(CONCATENATE(Q38,Q68,Q70),données!$AP$9:$AQ$32,2,0),VLOOKUP(CONCATENATE(Q38,Q68,Q70),données!$AP$9:$AQ$32,2,0))))))))</f>
        <v>0</v>
      </c>
      <c r="R72" s="39">
        <f>IF(OR(R$6="",R68=""),0,IF(R$6="2f",0,IF(OR(R$6=1,R$6="2s"),IF(R38=0,"zone geo",IF(OR(R38="A",R38="B",R38="E"),0,IF(R68="","",IF(VLOOKUP(CONCATENATE(R38,R68,R70),données!$AP$9:$AQ$32,2,0),VLOOKUP(CONCATENATE(R38,R68,R70),données!$AP$9:$AQ$32,2,0))))))))</f>
        <v>0</v>
      </c>
      <c r="S72" s="39">
        <f>IF(OR(S$6="",S68=""),0,IF(S$6="2f",0,IF(OR(S$6=1,S$6="2s"),IF(S38=0,"zone geo",IF(OR(S38="A",S38="B",S38="E"),0,IF(S68="","",IF(VLOOKUP(CONCATENATE(S38,S68,S70),données!$AP$9:$AQ$32,2,0),VLOOKUP(CONCATENATE(S38,S68,S70),données!$AP$9:$AQ$32,2,0))))))))</f>
        <v>0</v>
      </c>
      <c r="T72" s="39">
        <f>IF(OR(T$6="",T68=""),0,IF(T$6="2f",0,IF(OR(T$6=1,T$6="2s"),IF(T38=0,"zone geo",IF(OR(T38="A",T38="B",T38="E"),0,IF(T68="","",IF(VLOOKUP(CONCATENATE(T38,T68,T70),données!$AP$9:$AQ$32,2,0),VLOOKUP(CONCATENATE(T38,T68,T70),données!$AP$9:$AQ$32,2,0))))))))</f>
        <v>0</v>
      </c>
      <c r="U72" s="39">
        <f>IF(OR(U$6="",U68=""),0,IF(U$6="2f",0,IF(OR(U$6=1,U$6="2s"),IF(U38=0,"zone geo",IF(OR(U38="A",U38="B",U38="E"),0,IF(U68="","",IF(VLOOKUP(CONCATENATE(U38,U68,U70),données!$AP$9:$AQ$32,2,0),VLOOKUP(CONCATENATE(U38,U68,U70),données!$AP$9:$AQ$32,2,0))))))))</f>
        <v>0</v>
      </c>
      <c r="V72" s="39">
        <f>IF(OR(V$6="",V68=""),0,IF(V$6="2f",0,IF(OR(V$6=1,V$6="2s"),IF(V38=0,"zone geo",IF(OR(V38="A",V38="B",V38="E"),0,IF(V68="","",IF(VLOOKUP(CONCATENATE(V38,V68,V70),données!$AP$9:$AQ$32,2,0),VLOOKUP(CONCATENATE(V38,V68,V70),données!$AP$9:$AQ$32,2,0))))))))</f>
        <v>0</v>
      </c>
      <c r="W72" s="39">
        <f>IF(OR(W$6="",W68=""),0,IF(W$6="2f",0,IF(OR(W$6=1,W$6="2s"),IF(W38=0,"zone geo",IF(OR(W38="A",W38="B",W38="E"),0,IF(W68="","",IF(VLOOKUP(CONCATENATE(W38,W68,W70),données!$AP$9:$AQ$32,2,0),VLOOKUP(CONCATENATE(W38,W68,W70),données!$AP$9:$AQ$32,2,0))))))))</f>
        <v>0</v>
      </c>
      <c r="X72" s="39">
        <f>IF(OR(X$6="",X68=""),0,IF(X$6="2f",0,IF(OR(X$6=1,X$6="2s"),IF(X38=0,"zone geo",IF(OR(X38="A",X38="B",X38="E"),0,IF(X68="","",IF(VLOOKUP(CONCATENATE(X38,X68,X70),données!$AP$9:$AQ$32,2,0),VLOOKUP(CONCATENATE(X38,X68,X70),données!$AP$9:$AQ$32,2,0))))))))</f>
        <v>0</v>
      </c>
      <c r="Y72" s="39">
        <f>IF(OR(Y$6="",Y68=""),0,IF(Y$6="2f",0,IF(OR(Y$6=1,Y$6="2s"),IF(Y38=0,"zone geo",IF(OR(Y38="A",Y38="B",Y38="E"),0,IF(Y68="","",IF(VLOOKUP(CONCATENATE(Y38,Y68,Y70),données!$AP$9:$AQ$32,2,0),VLOOKUP(CONCATENATE(Y38,Y68,Y70),données!$AP$9:$AQ$32,2,0))))))))</f>
        <v>0</v>
      </c>
      <c r="Z72" s="39">
        <f>IF(OR(Z$6="",Z68=""),0,IF(Z$6="2f",0,IF(OR(Z$6=1,Z$6="2s"),IF(Z38=0,"zone geo",IF(OR(Z38="A",Z38="B",Z38="E"),0,IF(Z68="","",IF(VLOOKUP(CONCATENATE(Z38,Z68,Z70),données!$AP$9:$AQ$32,2,0),VLOOKUP(CONCATENATE(Z38,Z68,Z70),données!$AP$9:$AQ$32,2,0))))))))</f>
        <v>0</v>
      </c>
      <c r="AA72" s="250" t="str">
        <f t="shared" si="38"/>
        <v/>
      </c>
      <c r="AB72" s="237"/>
      <c r="AC72" s="325"/>
      <c r="AD72" s="238"/>
    </row>
    <row r="73" spans="1:30" ht="14.5" customHeight="1" thickBot="1">
      <c r="A73" s="464"/>
      <c r="B73" s="576" t="s">
        <v>364</v>
      </c>
      <c r="C73" s="577"/>
      <c r="D73" s="244">
        <f>IF(OR(D$6="2f",D$6=4),IF(OR(D$48="",D$48=9),0,IF(D38=0,"zone geo",IF(D68="",0,IF(VLOOKUP(_xlfn.CONCAT(D38,D68,D70),données!$AR$6:$AS$50,2,0),VLOOKUP(_xlfn.CONCAT(D38,D68,D70),données!$AR$6:$AS$50,2,0))))),0)</f>
        <v>0</v>
      </c>
      <c r="E73" s="244">
        <f>IF(OR(E$6="2f",E$6=4),IF(OR(E$48="",E$48=9),0,IF(E38=0,"zone geo",IF(E68="",0,IF(VLOOKUP(_xlfn.CONCAT(E38,E68,E70),données!$AR$6:$AS$50,2,0),VLOOKUP(_xlfn.CONCAT(E38,E68,E70),données!$AR$6:$AS$50,2,0))))),0)</f>
        <v>0</v>
      </c>
      <c r="F73" s="244">
        <f>IF(OR(F$6="2f",F$6=4),IF(OR(F$48="",F$48=9),0,IF(F38=0,"zone geo",IF(F68="",0,IF(VLOOKUP(_xlfn.CONCAT(F38,F68,F70),données!$AR$6:$AS$50,2,0),VLOOKUP(_xlfn.CONCAT(F38,F68,F70),données!$AR$6:$AS$50,2,0))))),0)</f>
        <v>0</v>
      </c>
      <c r="G73" s="244">
        <f>IF(OR(G$6="2f",G$6=4),IF(OR(G$48="",G$48=9),0,IF(G38=0,"zone geo",IF(G68="",0,IF(VLOOKUP(_xlfn.CONCAT(G38,G68,G70),données!$AR$6:$AS$50,2,0),VLOOKUP(_xlfn.CONCAT(G38,G68,G70),données!$AR$6:$AS$50,2,0))))),0)</f>
        <v>0</v>
      </c>
      <c r="H73" s="244">
        <f>IF(OR(H$6="2f",H$6=4),IF(OR(H$48="",H$48=9),0,IF(H38=0,"zone geo",IF(H68="",0,IF(VLOOKUP(_xlfn.CONCAT(H38,H68,H70),données!$AR$6:$AS$50,2,0),VLOOKUP(_xlfn.CONCAT(H38,H68,H70),données!$AR$6:$AS$50,2,0))))),0)</f>
        <v>0</v>
      </c>
      <c r="I73" s="244">
        <f>IF(OR(I$6="2f",I$6=4),IF(OR(I$48="",I$48=9),0,IF(I38=0,"zone geo",IF(I68="",0,IF(VLOOKUP(_xlfn.CONCAT(I38,I68,I70),données!$AR$6:$AS$50,2,0),VLOOKUP(_xlfn.CONCAT(I38,I68,I70),données!$AR$6:$AS$50,2,0))))),0)</f>
        <v>0</v>
      </c>
      <c r="J73" s="244">
        <f>IF(OR(J$6="2f",J$6=4),IF(OR(J$48="",J$48=9),0,IF(J38=0,"zone geo",IF(J68="",0,IF(VLOOKUP(_xlfn.CONCAT(J38,J68,J70),données!$AR$6:$AS$50,2,0),VLOOKUP(_xlfn.CONCAT(J38,J68,J70),données!$AR$6:$AS$50,2,0))))),0)</f>
        <v>0</v>
      </c>
      <c r="K73" s="244">
        <f>IF(OR(K$6="2f",K$6=4),IF(OR(K$48="",K$48=9),0,IF(K38=0,"zone geo",IF(K68="",0,IF(VLOOKUP(_xlfn.CONCAT(K38,K68,K70),données!$AR$6:$AS$50,2,0),VLOOKUP(_xlfn.CONCAT(K38,K68,K70),données!$AR$6:$AS$50,2,0))))),0)</f>
        <v>0</v>
      </c>
      <c r="L73" s="244">
        <f>IF(OR(L$6="2f",L$6=4),IF(OR(L$48="",L$48=9),0,IF(L38=0,"zone geo",IF(L68="",0,IF(VLOOKUP(_xlfn.CONCAT(L38,L68,L70),données!$AR$6:$AS$50,2,0),VLOOKUP(_xlfn.CONCAT(L38,L68,L70),données!$AR$6:$AS$50,2,0))))),0)</f>
        <v>0</v>
      </c>
      <c r="M73" s="244">
        <f>IF(OR(M$6="2f",M$6=4),IF(OR(M$48="",M$48=9),0,IF(M38=0,"zone geo",IF(M68="",0,IF(VLOOKUP(_xlfn.CONCAT(M38,M68,M70),données!$AR$6:$AS$50,2,0),VLOOKUP(_xlfn.CONCAT(M38,M68,M70),données!$AR$6:$AS$50,2,0))))),0)</f>
        <v>0</v>
      </c>
      <c r="N73" s="244">
        <f>IF(OR(N$6="2f",N$6=4),IF(OR(N$48="",N$48=9),0,IF(N38=0,"zone geo",IF(N68="",0,IF(VLOOKUP(_xlfn.CONCAT(N38,N68,N70),données!$AR$6:$AS$50,2,0),VLOOKUP(_xlfn.CONCAT(N38,N68,N70),données!$AR$6:$AS$50,2,0))))),0)</f>
        <v>0</v>
      </c>
      <c r="O73" s="244">
        <f>IF(OR(O$6="2f",O$6=4),IF(OR(O$48="",O$48=9),0,IF(O38=0,"zone geo",IF(O68="",0,IF(VLOOKUP(_xlfn.CONCAT(O38,O68,O70),données!$AR$6:$AS$50,2,0),VLOOKUP(_xlfn.CONCAT(O38,O68,O70),données!$AR$6:$AS$50,2,0))))),0)</f>
        <v>0</v>
      </c>
      <c r="P73" s="244">
        <f>IF(OR(P$6="2f",P$6=4),IF(OR(P$48="",P$48=9),0,IF(P38=0,"zone geo",IF(P68="",0,IF(VLOOKUP(_xlfn.CONCAT(P38,P68,P70),données!$AR$6:$AS$50,2,0),VLOOKUP(_xlfn.CONCAT(P38,P68,P70),données!$AR$6:$AS$50,2,0))))),0)</f>
        <v>0</v>
      </c>
      <c r="Q73" s="244">
        <f>IF(OR(Q$6="2f",Q$6=4),IF(OR(Q$48="",Q$48=9),0,IF(Q38=0,"zone geo",IF(Q68="",0,IF(VLOOKUP(_xlfn.CONCAT(Q38,Q68,Q70),données!$AR$6:$AS$50,2,0),VLOOKUP(_xlfn.CONCAT(Q38,Q68,Q70),données!$AR$6:$AS$50,2,0))))),0)</f>
        <v>0</v>
      </c>
      <c r="R73" s="244">
        <f>IF(OR(R$6="2f",R$6=4),IF(OR(R$48="",R$48=9),0,IF(R38=0,"zone geo",IF(R68="",0,IF(VLOOKUP(_xlfn.CONCAT(R38,R68,R70),données!$AR$6:$AS$50,2,0),VLOOKUP(_xlfn.CONCAT(R38,R68,R70),données!$AR$6:$AS$50,2,0))))),0)</f>
        <v>0</v>
      </c>
      <c r="S73" s="244">
        <f>IF(OR(S$6="2f",S$6=4),IF(OR(S$48="",S$48=9),0,IF(S38=0,"zone geo",IF(S68="",0,IF(VLOOKUP(_xlfn.CONCAT(S38,S68,S70),données!$AR$6:$AS$50,2,0),VLOOKUP(_xlfn.CONCAT(S38,S68,S70),données!$AR$6:$AS$50,2,0))))),0)</f>
        <v>0</v>
      </c>
      <c r="T73" s="244">
        <f>IF(OR(T$6="2f",T$6=4),IF(OR(T$48="",T$48=9),0,IF(T38=0,"zone geo",IF(T68="",0,IF(VLOOKUP(_xlfn.CONCAT(T38,T68,T70),données!$AR$6:$AS$50,2,0),VLOOKUP(_xlfn.CONCAT(T38,T68,T70),données!$AR$6:$AS$50,2,0))))),0)</f>
        <v>0</v>
      </c>
      <c r="U73" s="244">
        <f>IF(OR(U$6="2f",U$6=4),IF(OR(U$48="",U$48=9),0,IF(U38=0,"zone geo",IF(U68="",0,IF(VLOOKUP(_xlfn.CONCAT(U38,U68,U70),données!$AR$6:$AS$50,2,0),VLOOKUP(_xlfn.CONCAT(U38,U68,U70),données!$AR$6:$AS$50,2,0))))),0)</f>
        <v>0</v>
      </c>
      <c r="V73" s="244">
        <f>IF(OR(V$6="2f",V$6=4),IF(OR(V$48="",V$48=9),0,IF(V38=0,"zone geo",IF(V68="",0,IF(VLOOKUP(_xlfn.CONCAT(V38,V68,V70),données!$AR$6:$AS$50,2,0),VLOOKUP(_xlfn.CONCAT(V38,V68,V70),données!$AR$6:$AS$50,2,0))))),0)</f>
        <v>0</v>
      </c>
      <c r="W73" s="244">
        <f>IF(OR(W$6="2f",W$6=4),IF(OR(W$48="",W$48=9),0,IF(W38=0,"zone geo",IF(W68="",0,IF(VLOOKUP(_xlfn.CONCAT(W38,W68,W70),données!$AR$6:$AS$50,2,0),VLOOKUP(_xlfn.CONCAT(W38,W68,W70),données!$AR$6:$AS$50,2,0))))),0)</f>
        <v>0</v>
      </c>
      <c r="X73" s="244">
        <f>IF(OR(X$6="2f",X$6=4),IF(OR(X$48="",X$48=9),0,IF(X38=0,"zone geo",IF(X68="",0,IF(VLOOKUP(_xlfn.CONCAT(X38,X68,X70),données!$AR$6:$AS$50,2,0),VLOOKUP(_xlfn.CONCAT(X38,X68,X70),données!$AR$6:$AS$50,2,0))))),0)</f>
        <v>0</v>
      </c>
      <c r="Y73" s="244">
        <f>IF(OR(Y$6="2f",Y$6=4),IF(OR(Y$48="",Y$48=9),0,IF(Y38=0,"zone geo",IF(Y68="",0,IF(VLOOKUP(_xlfn.CONCAT(Y38,Y68,Y70),données!$AR$6:$AS$50,2,0),VLOOKUP(_xlfn.CONCAT(Y38,Y68,Y70),données!$AR$6:$AS$50,2,0))))),0)</f>
        <v>0</v>
      </c>
      <c r="Z73" s="244">
        <f>IF(OR(Z$6="2f",Z$6=4),IF(OR(Z$48="",Z$48=9),0,IF(Z38=0,"zone geo",IF(Z68="",0,IF(VLOOKUP(_xlfn.CONCAT(Z38,Z68,Z70),données!$AR$6:$AS$50,2,0),VLOOKUP(_xlfn.CONCAT(Z38,Z68,Z70),données!$AR$6:$AS$50,2,0))))),0)</f>
        <v>0</v>
      </c>
      <c r="AA73" s="239" t="str">
        <f t="shared" si="38"/>
        <v/>
      </c>
      <c r="AB73" s="237"/>
      <c r="AC73" s="325"/>
      <c r="AD73" s="238"/>
    </row>
    <row r="74" spans="1:30" ht="14.5" customHeight="1" thickBot="1">
      <c r="A74" s="464"/>
      <c r="B74" s="576" t="s">
        <v>363</v>
      </c>
      <c r="C74" s="577"/>
      <c r="D74" s="244">
        <f>IF(OR(D$6="2f",D$6=4),IF(D$48=16,0,IF(D$38=0,"zone geo",IF(D69="","",IF(VLOOKUP(_xlfn.CONCAT(D$38,D$68,D$70),données!$AT$6:$AU$50,2,0),VLOOKUP(_xlfn.CONCAT(D$38,D$68,D$70),données!$AT$6:$AU$50,2,0))))),0)</f>
        <v>0</v>
      </c>
      <c r="E74" s="244">
        <f>IF(OR(E$6="2f",E$6=4),IF(E$48=16,0,IF(E$38=0,"zone geo",IF(E69="","",IF(VLOOKUP(_xlfn.CONCAT(E$38,E$68,E$70),données!$AT$6:$AU$50,2,0),VLOOKUP(_xlfn.CONCAT(E$38,E$68,E$70),données!$AT$6:$AU$50,2,0))))),0)</f>
        <v>0</v>
      </c>
      <c r="F74" s="244">
        <f>IF(OR(F$6="2f",F$6=4),IF(F$48=16,0,IF(F$38=0,"zone geo",IF(F69="","",IF(VLOOKUP(_xlfn.CONCAT(F$38,F$68,F$70),données!$AT$6:$AU$50,2,0),VLOOKUP(_xlfn.CONCAT(F$38,F$68,F$70),données!$AT$6:$AU$50,2,0))))),0)</f>
        <v>0</v>
      </c>
      <c r="G74" s="244">
        <f>IF(OR(G$6="2f",G$6=4),IF(G$48=16,0,IF(G$38=0,"zone geo",IF(G69="","",IF(VLOOKUP(_xlfn.CONCAT(G$38,G$68,G$70),données!$AT$6:$AU$50,2,0),VLOOKUP(_xlfn.CONCAT(G$38,G$68,G$70),données!$AT$6:$AU$50,2,0))))),0)</f>
        <v>0</v>
      </c>
      <c r="H74" s="244">
        <f>IF(OR(H$6="2f",H$6=4),IF(H$48=16,0,IF(H$38=0,"zone geo",IF(H69="","",IF(VLOOKUP(_xlfn.CONCAT(H$38,H$68,H$70),données!$AT$6:$AU$50,2,0),VLOOKUP(_xlfn.CONCAT(H$38,H$68,H$70),données!$AT$6:$AU$50,2,0))))),0)</f>
        <v>0</v>
      </c>
      <c r="I74" s="244">
        <f>IF(OR(I$6="2f",I$6=4),IF(I$48=16,0,IF(I$38=0,"zone geo",IF(I69="","",IF(VLOOKUP(_xlfn.CONCAT(I$38,I$68,I$70),données!$AT$6:$AU$50,2,0),VLOOKUP(_xlfn.CONCAT(I$38,I$68,I$70),données!$AT$6:$AU$50,2,0))))),0)</f>
        <v>0</v>
      </c>
      <c r="J74" s="244">
        <f>IF(OR(J$6="2f",J$6=4),IF(J$48=16,0,IF(J$38=0,"zone geo",IF(J69="","",IF(VLOOKUP(_xlfn.CONCAT(J$38,J$68,J$70),données!$AT$6:$AU$50,2,0),VLOOKUP(_xlfn.CONCAT(J$38,J$68,J$70),données!$AT$6:$AU$50,2,0))))),0)</f>
        <v>0</v>
      </c>
      <c r="K74" s="244">
        <f>IF(OR(K$6="2f",K$6=4),IF(K$48=16,0,IF(K$38=0,"zone geo",IF(K69="","",IF(VLOOKUP(_xlfn.CONCAT(K$38,K$68,K$70),données!$AT$6:$AU$50,2,0),VLOOKUP(_xlfn.CONCAT(K$38,K$68,K$70),données!$AT$6:$AU$50,2,0))))),0)</f>
        <v>0</v>
      </c>
      <c r="L74" s="244">
        <f>IF(OR(L$6="2f",L$6=4),IF(L$48=16,0,IF(L$38=0,"zone geo",IF(L69="","",IF(VLOOKUP(_xlfn.CONCAT(L$38,L$68,L$70),données!$AT$6:$AU$50,2,0),VLOOKUP(_xlfn.CONCAT(L$38,L$68,L$70),données!$AT$6:$AU$50,2,0))))),0)</f>
        <v>0</v>
      </c>
      <c r="M74" s="244">
        <f>IF(OR(M$6="2f",M$6=4),IF(M$48=16,0,IF(M$38=0,"zone geo",IF(M69="","",IF(VLOOKUP(_xlfn.CONCAT(M$38,M$68,M$70),données!$AT$6:$AU$50,2,0),VLOOKUP(_xlfn.CONCAT(M$38,M$68,M$70),données!$AT$6:$AU$50,2,0))))),0)</f>
        <v>0</v>
      </c>
      <c r="N74" s="244">
        <f>IF(OR(N$6="2f",N$6=4),IF(N$48=16,0,IF(N$38=0,"zone geo",IF(N69="","",IF(VLOOKUP(_xlfn.CONCAT(N$38,N$68,N$70),données!$AT$6:$AU$50,2,0),VLOOKUP(_xlfn.CONCAT(N$38,N$68,N$70),données!$AT$6:$AU$50,2,0))))),0)</f>
        <v>0</v>
      </c>
      <c r="O74" s="244">
        <f>IF(OR(O$6="2f",O$6=4),IF(O$48=16,0,IF(O$38=0,"zone geo",IF(O69="","",IF(VLOOKUP(_xlfn.CONCAT(O$38,O$68,O$70),données!$AT$6:$AU$50,2,0),VLOOKUP(_xlfn.CONCAT(O$38,O$68,O$70),données!$AT$6:$AU$50,2,0))))),0)</f>
        <v>0</v>
      </c>
      <c r="P74" s="244">
        <f>IF(OR(P$6="2f",P$6=4),IF(P$48=16,0,IF(P$38=0,"zone geo",IF(P69="","",IF(VLOOKUP(_xlfn.CONCAT(P$38,P$68,P$70),données!$AT$6:$AU$50,2,0),VLOOKUP(_xlfn.CONCAT(P$38,P$68,P$70),données!$AT$6:$AU$50,2,0))))),0)</f>
        <v>0</v>
      </c>
      <c r="Q74" s="244">
        <f>IF(OR(Q$6="2f",Q$6=4),IF(Q$48=16,0,IF(Q$38=0,"zone geo",IF(Q69="","",IF(VLOOKUP(_xlfn.CONCAT(Q$38,Q$68,Q$70),données!$AT$6:$AU$50,2,0),VLOOKUP(_xlfn.CONCAT(Q$38,Q$68,Q$70),données!$AT$6:$AU$50,2,0))))),0)</f>
        <v>0</v>
      </c>
      <c r="R74" s="244">
        <f>IF(OR(R$6="2f",R$6=4),IF(R$48=16,0,IF(R$38=0,"zone geo",IF(R69="","",IF(VLOOKUP(_xlfn.CONCAT(R$38,R$68,R$70),données!$AT$6:$AU$50,2,0),VLOOKUP(_xlfn.CONCAT(R$38,R$68,R$70),données!$AT$6:$AU$50,2,0))))),0)</f>
        <v>0</v>
      </c>
      <c r="S74" s="244">
        <f>IF(OR(S$6="2f",S$6=4),IF(S$48=16,0,IF(S$38=0,"zone geo",IF(S69="","",IF(VLOOKUP(_xlfn.CONCAT(S$38,S$68,S$70),données!$AT$6:$AU$50,2,0),VLOOKUP(_xlfn.CONCAT(S$38,S$68,S$70),données!$AT$6:$AU$50,2,0))))),0)</f>
        <v>0</v>
      </c>
      <c r="T74" s="244">
        <f>IF(OR(T$6="2f",T$6=4),IF(T$48=16,0,IF(T$38=0,"zone geo",IF(T69="","",IF(VLOOKUP(_xlfn.CONCAT(T$38,T$68,T$70),données!$AT$6:$AU$50,2,0),VLOOKUP(_xlfn.CONCAT(T$38,T$68,T$70),données!$AT$6:$AU$50,2,0))))),0)</f>
        <v>0</v>
      </c>
      <c r="U74" s="244">
        <f>IF(OR(U$6="2f",U$6=4),IF(U$48=16,0,IF(U$38=0,"zone geo",IF(U69="","",IF(VLOOKUP(_xlfn.CONCAT(U$38,U$68,U$70),données!$AT$6:$AU$50,2,0),VLOOKUP(_xlfn.CONCAT(U$38,U$68,U$70),données!$AT$6:$AU$50,2,0))))),0)</f>
        <v>0</v>
      </c>
      <c r="V74" s="244">
        <f>IF(OR(V$6="2f",V$6=4),IF(V$48=16,0,IF(V$38=0,"zone geo",IF(V69="","",IF(VLOOKUP(_xlfn.CONCAT(V$38,V$68,V$70),données!$AT$6:$AU$50,2,0),VLOOKUP(_xlfn.CONCAT(V$38,V$68,V$70),données!$AT$6:$AU$50,2,0))))),0)</f>
        <v>0</v>
      </c>
      <c r="W74" s="244">
        <f>IF(OR(W$6="2f",W$6=4),IF(W$48=16,0,IF(W$38=0,"zone geo",IF(W69="","",IF(VLOOKUP(_xlfn.CONCAT(W$38,W$68,W$70),données!$AT$6:$AU$50,2,0),VLOOKUP(_xlfn.CONCAT(W$38,W$68,W$70),données!$AT$6:$AU$50,2,0))))),0)</f>
        <v>0</v>
      </c>
      <c r="X74" s="244">
        <f>IF(OR(X$6="2f",X$6=4),IF(X$48=16,0,IF(X$38=0,"zone geo",IF(X69="","",IF(VLOOKUP(_xlfn.CONCAT(X$38,X$68,X$70),données!$AT$6:$AU$50,2,0),VLOOKUP(_xlfn.CONCAT(X$38,X$68,X$70),données!$AT$6:$AU$50,2,0))))),0)</f>
        <v>0</v>
      </c>
      <c r="Y74" s="244">
        <f>IF(OR(Y$6="2f",Y$6=4),IF(Y$48=16,0,IF(Y$38=0,"zone geo",IF(Y69="","",IF(VLOOKUP(_xlfn.CONCAT(Y$38,Y$68,Y$70),données!$AT$6:$AU$50,2,0),VLOOKUP(_xlfn.CONCAT(Y$38,Y$68,Y$70),données!$AT$6:$AU$50,2,0))))),0)</f>
        <v>0</v>
      </c>
      <c r="Z74" s="244">
        <f>IF(OR(Z$6="2f",Z$6=4),IF(Z$48=16,0,IF(Z$38=0,"zone geo",IF(Z69="","",IF(VLOOKUP(_xlfn.CONCAT(Z$38,Z$68,Z$70),données!$AT$6:$AU$50,2,0),VLOOKUP(_xlfn.CONCAT(Z$38,Z$68,Z$70),données!$AT$6:$AU$50,2,0))))),0)</f>
        <v>0</v>
      </c>
      <c r="AA74" s="239" t="str">
        <f t="shared" si="38"/>
        <v/>
      </c>
      <c r="AB74" s="237"/>
      <c r="AC74" s="325"/>
      <c r="AD74" s="238"/>
    </row>
    <row r="75" spans="1:30" ht="15" thickBot="1">
      <c r="A75" s="464"/>
      <c r="B75" s="603" t="s">
        <v>140</v>
      </c>
      <c r="C75" s="603"/>
      <c r="D75" s="36">
        <f>IF(D68=0,0,IF(D71&gt;D72,D72,D71)*D69)</f>
        <v>0</v>
      </c>
      <c r="E75" s="36">
        <f t="shared" ref="E75" si="39">IF(E68=0,0,IF(E71&gt;E72,E72,E71)*E69)</f>
        <v>0</v>
      </c>
      <c r="F75" s="36">
        <f>IF(F68=0,0,IF(F71&gt;F72,F72,F71)*F69)</f>
        <v>0</v>
      </c>
      <c r="G75" s="36">
        <f>IF(G68=0,0,IF(G71&gt;G72,G72,G71)*G69)</f>
        <v>0</v>
      </c>
      <c r="H75" s="36">
        <f t="shared" ref="H75:Z75" si="40">IF(H68=0,0,IF(H71&gt;H72,H72,H71)*H69)</f>
        <v>0</v>
      </c>
      <c r="I75" s="36">
        <f t="shared" si="40"/>
        <v>0</v>
      </c>
      <c r="J75" s="36">
        <f t="shared" si="40"/>
        <v>0</v>
      </c>
      <c r="K75" s="36">
        <f t="shared" si="40"/>
        <v>0</v>
      </c>
      <c r="L75" s="36">
        <f t="shared" si="40"/>
        <v>0</v>
      </c>
      <c r="M75" s="36">
        <f t="shared" si="40"/>
        <v>0</v>
      </c>
      <c r="N75" s="36">
        <f t="shared" si="40"/>
        <v>0</v>
      </c>
      <c r="O75" s="36">
        <f t="shared" si="40"/>
        <v>0</v>
      </c>
      <c r="P75" s="36">
        <f t="shared" si="40"/>
        <v>0</v>
      </c>
      <c r="Q75" s="36">
        <f t="shared" si="40"/>
        <v>0</v>
      </c>
      <c r="R75" s="36">
        <f t="shared" si="40"/>
        <v>0</v>
      </c>
      <c r="S75" s="36">
        <f t="shared" si="40"/>
        <v>0</v>
      </c>
      <c r="T75" s="36">
        <f t="shared" si="40"/>
        <v>0</v>
      </c>
      <c r="U75" s="36">
        <f t="shared" si="40"/>
        <v>0</v>
      </c>
      <c r="V75" s="36">
        <f t="shared" si="40"/>
        <v>0</v>
      </c>
      <c r="W75" s="36">
        <f t="shared" si="40"/>
        <v>0</v>
      </c>
      <c r="X75" s="36">
        <f t="shared" si="40"/>
        <v>0</v>
      </c>
      <c r="Y75" s="36">
        <f t="shared" si="40"/>
        <v>0</v>
      </c>
      <c r="Z75" s="36">
        <f t="shared" si="40"/>
        <v>0</v>
      </c>
      <c r="AA75" s="249">
        <f>IF(SUM(D75:Z75)=0,0,SUM(D75:Z75))</f>
        <v>0</v>
      </c>
      <c r="AB75" s="237"/>
      <c r="AC75" s="325"/>
      <c r="AD75" s="238"/>
    </row>
    <row r="76" spans="1:30" ht="15" thickBot="1">
      <c r="A76" s="596"/>
      <c r="B76" s="578" t="s">
        <v>141</v>
      </c>
      <c r="C76" s="579"/>
      <c r="D76" s="40">
        <f>IF(D10="Devis",D75,IF(D68="",0,IF(OR(D72&gt;0,D73&gt;0,D74&gt;0),IF(D72&gt;0,D72*D69,IF(D73&gt;0,D73*D$49*D69,IF(D74&gt;0,D74*D$49*D69,0))),0)))</f>
        <v>0</v>
      </c>
      <c r="E76" s="40">
        <f t="shared" ref="E76:Z76" si="41">IF(E10="Devis",E75,IF(E68="",0,IF(OR(E72&gt;0,E73&gt;0,E74&gt;0),IF(E72&gt;0,E72*E69,IF(E73&gt;0,E73*E$49*E69,IF(E74&gt;0,E74*E$49*E69,0))),0)))</f>
        <v>0</v>
      </c>
      <c r="F76" s="40">
        <f t="shared" si="41"/>
        <v>0</v>
      </c>
      <c r="G76" s="40">
        <f t="shared" si="41"/>
        <v>0</v>
      </c>
      <c r="H76" s="40">
        <f t="shared" si="41"/>
        <v>0</v>
      </c>
      <c r="I76" s="40">
        <f t="shared" si="41"/>
        <v>0</v>
      </c>
      <c r="J76" s="40">
        <f t="shared" si="41"/>
        <v>0</v>
      </c>
      <c r="K76" s="40">
        <f t="shared" si="41"/>
        <v>0</v>
      </c>
      <c r="L76" s="40">
        <f t="shared" si="41"/>
        <v>0</v>
      </c>
      <c r="M76" s="40">
        <f t="shared" si="41"/>
        <v>0</v>
      </c>
      <c r="N76" s="40">
        <f t="shared" si="41"/>
        <v>0</v>
      </c>
      <c r="O76" s="40">
        <f t="shared" si="41"/>
        <v>0</v>
      </c>
      <c r="P76" s="40">
        <f t="shared" si="41"/>
        <v>0</v>
      </c>
      <c r="Q76" s="40">
        <f t="shared" si="41"/>
        <v>0</v>
      </c>
      <c r="R76" s="40">
        <f t="shared" si="41"/>
        <v>0</v>
      </c>
      <c r="S76" s="40">
        <f t="shared" si="41"/>
        <v>0</v>
      </c>
      <c r="T76" s="40">
        <f t="shared" si="41"/>
        <v>0</v>
      </c>
      <c r="U76" s="40">
        <f t="shared" si="41"/>
        <v>0</v>
      </c>
      <c r="V76" s="40">
        <f t="shared" si="41"/>
        <v>0</v>
      </c>
      <c r="W76" s="40">
        <f t="shared" si="41"/>
        <v>0</v>
      </c>
      <c r="X76" s="40">
        <f t="shared" si="41"/>
        <v>0</v>
      </c>
      <c r="Y76" s="40">
        <f t="shared" si="41"/>
        <v>0</v>
      </c>
      <c r="Z76" s="40">
        <f t="shared" si="41"/>
        <v>0</v>
      </c>
      <c r="AA76" s="249">
        <f>IF(SUM(D76:Z76)=0,0,SUM(D76:Z76))</f>
        <v>0</v>
      </c>
      <c r="AB76" s="237">
        <f>AA76-AD76</f>
        <v>0</v>
      </c>
      <c r="AC76" s="325"/>
      <c r="AD76" s="238">
        <f>AA75</f>
        <v>0</v>
      </c>
    </row>
    <row r="77" spans="1:30" ht="15" thickBot="1">
      <c r="A77" s="495" t="s">
        <v>142</v>
      </c>
      <c r="B77" s="570" t="s">
        <v>459</v>
      </c>
      <c r="C77" s="571"/>
      <c r="D77" s="27"/>
      <c r="E77" s="28"/>
      <c r="F77" s="28"/>
      <c r="G77" s="28"/>
      <c r="H77" s="28"/>
      <c r="I77" s="29"/>
      <c r="J77" s="29"/>
      <c r="K77" s="29"/>
      <c r="L77" s="29"/>
      <c r="M77" s="29"/>
      <c r="N77" s="29"/>
      <c r="O77" s="29"/>
      <c r="P77" s="29"/>
      <c r="Q77" s="29"/>
      <c r="R77" s="29"/>
      <c r="S77" s="29"/>
      <c r="T77" s="29"/>
      <c r="U77" s="29"/>
      <c r="V77" s="29"/>
      <c r="W77" s="29"/>
      <c r="X77" s="29"/>
      <c r="Y77" s="29"/>
      <c r="Z77" s="41"/>
      <c r="AA77" s="239" t="str">
        <f t="shared" si="38"/>
        <v/>
      </c>
      <c r="AB77" s="237"/>
      <c r="AC77" s="325"/>
      <c r="AD77" s="238"/>
    </row>
    <row r="78" spans="1:30" ht="15" thickBot="1">
      <c r="A78" s="496"/>
      <c r="B78" s="572" t="s">
        <v>143</v>
      </c>
      <c r="C78" s="573"/>
      <c r="D78" s="42"/>
      <c r="E78" s="43"/>
      <c r="F78" s="43"/>
      <c r="G78" s="43"/>
      <c r="H78" s="43"/>
      <c r="I78" s="44"/>
      <c r="J78" s="44"/>
      <c r="K78" s="44"/>
      <c r="L78" s="44"/>
      <c r="M78" s="44"/>
      <c r="N78" s="44"/>
      <c r="O78" s="44"/>
      <c r="P78" s="44"/>
      <c r="Q78" s="44"/>
      <c r="R78" s="44"/>
      <c r="S78" s="44"/>
      <c r="T78" s="44"/>
      <c r="U78" s="44"/>
      <c r="V78" s="44"/>
      <c r="W78" s="44"/>
      <c r="X78" s="44"/>
      <c r="Y78" s="44"/>
      <c r="Z78" s="45"/>
      <c r="AA78" s="250" t="str">
        <f t="shared" si="38"/>
        <v/>
      </c>
      <c r="AB78" s="237"/>
      <c r="AC78" s="325"/>
      <c r="AD78" s="238"/>
    </row>
    <row r="79" spans="1:30" ht="15" thickBot="1">
      <c r="A79" s="496"/>
      <c r="B79" s="572" t="s">
        <v>132</v>
      </c>
      <c r="C79" s="573"/>
      <c r="D79" s="252" t="str">
        <f>IF(D77=0,"",IF(SUMIF($D$77:$Z$77,D77,$D$78:$Z$78)&lt;4,"&lt; 4ha",IF(SUMIF($D$77:$Z$77,D77,$D$78:$Z$78)&gt;10,"&gt; 10ha","4-10ha")))</f>
        <v/>
      </c>
      <c r="E79" s="252" t="str">
        <f t="shared" ref="E79:Z79" si="42">IF(E77=0,"",IF(SUMIF($D$77:$Z$77,E77,$D$78:$Z$78)&lt;4,"&lt; 4ha",IF(SUMIF($D$77:$Z$77,E77,$D$78:$Z$78)&gt;10,"&gt; 10ha","4-10ha")))</f>
        <v/>
      </c>
      <c r="F79" s="252" t="str">
        <f t="shared" si="42"/>
        <v/>
      </c>
      <c r="G79" s="252" t="str">
        <f t="shared" si="42"/>
        <v/>
      </c>
      <c r="H79" s="252" t="str">
        <f t="shared" si="42"/>
        <v/>
      </c>
      <c r="I79" s="252" t="str">
        <f t="shared" si="42"/>
        <v/>
      </c>
      <c r="J79" s="252" t="str">
        <f t="shared" si="42"/>
        <v/>
      </c>
      <c r="K79" s="252" t="str">
        <f t="shared" si="42"/>
        <v/>
      </c>
      <c r="L79" s="252" t="str">
        <f t="shared" si="42"/>
        <v/>
      </c>
      <c r="M79" s="252" t="str">
        <f t="shared" si="42"/>
        <v/>
      </c>
      <c r="N79" s="252" t="str">
        <f t="shared" si="42"/>
        <v/>
      </c>
      <c r="O79" s="252" t="str">
        <f t="shared" si="42"/>
        <v/>
      </c>
      <c r="P79" s="252" t="str">
        <f t="shared" si="42"/>
        <v/>
      </c>
      <c r="Q79" s="252" t="str">
        <f t="shared" si="42"/>
        <v/>
      </c>
      <c r="R79" s="252" t="str">
        <f t="shared" si="42"/>
        <v/>
      </c>
      <c r="S79" s="252" t="str">
        <f t="shared" si="42"/>
        <v/>
      </c>
      <c r="T79" s="252" t="str">
        <f t="shared" si="42"/>
        <v/>
      </c>
      <c r="U79" s="252" t="str">
        <f t="shared" si="42"/>
        <v/>
      </c>
      <c r="V79" s="252" t="str">
        <f t="shared" si="42"/>
        <v/>
      </c>
      <c r="W79" s="252" t="str">
        <f t="shared" si="42"/>
        <v/>
      </c>
      <c r="X79" s="252" t="str">
        <f t="shared" si="42"/>
        <v/>
      </c>
      <c r="Y79" s="252" t="str">
        <f t="shared" si="42"/>
        <v/>
      </c>
      <c r="Z79" s="252" t="str">
        <f t="shared" si="42"/>
        <v/>
      </c>
      <c r="AA79" s="250" t="str">
        <f t="shared" si="38"/>
        <v/>
      </c>
      <c r="AB79" s="237"/>
      <c r="AC79" s="325"/>
      <c r="AD79" s="238"/>
    </row>
    <row r="80" spans="1:30" ht="15" thickBot="1">
      <c r="A80" s="496"/>
      <c r="B80" s="572" t="s">
        <v>368</v>
      </c>
      <c r="C80" s="573"/>
      <c r="D80" s="253" t="str">
        <f>IF(OR(D$6="2f",D$6=3,D$6=4),0,IF(D38=0,"0",IF(D$77="","0",IF(VLOOKUP(_xlfn.CONCAT(D$38,D$77,D$79),données!$AP$3:$AQ$8,2,0),VLOOKUP(_xlfn.CONCAT(D$38,D$77,D$79),données!$AP$3:$AQ$8,2,0)))))</f>
        <v>0</v>
      </c>
      <c r="E80" s="253" t="str">
        <f>IF(OR(E$6="2f",E$6=3,E$6=4),0,IF(E38=0,"0",IF(E$77="","0",IF(VLOOKUP(_xlfn.CONCAT(E$38,E$77,E$79),données!$AP$3:$AQ$8,2,0),VLOOKUP(_xlfn.CONCAT(E$38,E$77,E$79),données!$AP$3:$AQ$8,2,0)))))</f>
        <v>0</v>
      </c>
      <c r="F80" s="253" t="str">
        <f>IF(OR(F$6="2f",F$6=3,F$6=4),0,IF(F38=0,"0",IF(F$77="","0",IF(VLOOKUP(_xlfn.CONCAT(F$38,F$77,F$79),données!$AP$3:$AQ$8,2,0),VLOOKUP(_xlfn.CONCAT(F$38,F$77,F$79),données!$AP$3:$AQ$8,2,0)))))</f>
        <v>0</v>
      </c>
      <c r="G80" s="253" t="str">
        <f>IF(OR(G$6="2f",G$6=3,G$6=4),0,IF(G38=0,"0",IF(G$77="","0",IF(VLOOKUP(_xlfn.CONCAT(G$38,G$77,G$79),données!$AP$3:$AQ$8,2,0),VLOOKUP(_xlfn.CONCAT(G$38,G$77,G$79),données!$AP$3:$AQ$8,2,0)))))</f>
        <v>0</v>
      </c>
      <c r="H80" s="253" t="str">
        <f>IF(OR(H$6="2f",H$6=3,H$6=4),0,IF(H38=0,"0",IF(H$77="","0",IF(VLOOKUP(_xlfn.CONCAT(H$38,H$77,H$79),données!$AP$3:$AQ$8,2,0),VLOOKUP(_xlfn.CONCAT(H$38,H$77,H$79),données!$AP$3:$AQ$8,2,0)))))</f>
        <v>0</v>
      </c>
      <c r="I80" s="253" t="str">
        <f>IF(OR(I$6="2f",I$6=3,I$6=4),0,IF(I38=0,"0",IF(I$77="","0",IF(VLOOKUP(_xlfn.CONCAT(I$38,I$77,I$79),données!$AP$3:$AQ$8,2,0),VLOOKUP(_xlfn.CONCAT(I$38,I$77,I$79),données!$AP$3:$AQ$8,2,0)))))</f>
        <v>0</v>
      </c>
      <c r="J80" s="253" t="str">
        <f>IF(OR(J$6="2f",J$6=3,J$6=4),0,IF(J38=0,"0",IF(J$77="","0",IF(VLOOKUP(_xlfn.CONCAT(J$38,J$77,J$79),données!$AP$3:$AQ$8,2,0),VLOOKUP(_xlfn.CONCAT(J$38,J$77,J$79),données!$AP$3:$AQ$8,2,0)))))</f>
        <v>0</v>
      </c>
      <c r="K80" s="253" t="str">
        <f>IF(OR(K$6="2f",K$6=3,K$6=4),0,IF(K38=0,"0",IF(K$77="","0",IF(VLOOKUP(_xlfn.CONCAT(K$38,K$77,K$79),données!$AP$3:$AQ$8,2,0),VLOOKUP(_xlfn.CONCAT(K$38,K$77,K$79),données!$AP$3:$AQ$8,2,0)))))</f>
        <v>0</v>
      </c>
      <c r="L80" s="253" t="str">
        <f>IF(OR(L$6="2f",L$6=3,L$6=4),0,IF(L38=0,"0",IF(L$77="","0",IF(VLOOKUP(_xlfn.CONCAT(L$38,L$77,L$79),données!$AP$3:$AQ$8,2,0),VLOOKUP(_xlfn.CONCAT(L$38,L$77,L$79),données!$AP$3:$AQ$8,2,0)))))</f>
        <v>0</v>
      </c>
      <c r="M80" s="253" t="str">
        <f>IF(OR(M$6="2f",M$6=3,M$6=4),0,IF(M38=0,"0",IF(M$77="","0",IF(VLOOKUP(_xlfn.CONCAT(M$38,M$77,M$79),données!$AP$3:$AQ$8,2,0),VLOOKUP(_xlfn.CONCAT(M$38,M$77,M$79),données!$AP$3:$AQ$8,2,0)))))</f>
        <v>0</v>
      </c>
      <c r="N80" s="253" t="str">
        <f>IF(OR(N$6="2f",N$6=3,N$6=4),0,IF(N38=0,"0",IF(N$77="","0",IF(VLOOKUP(_xlfn.CONCAT(N$38,N$77,N$79),données!$AP$3:$AQ$8,2,0),VLOOKUP(_xlfn.CONCAT(N$38,N$77,N$79),données!$AP$3:$AQ$8,2,0)))))</f>
        <v>0</v>
      </c>
      <c r="O80" s="253" t="str">
        <f>IF(OR(O$6="2f",O$6=3,O$6=4),0,IF(O38=0,"0",IF(O$77="","0",IF(VLOOKUP(_xlfn.CONCAT(O$38,O$77,O$79),données!$AP$3:$AQ$8,2,0),VLOOKUP(_xlfn.CONCAT(O$38,O$77,O$79),données!$AP$3:$AQ$8,2,0)))))</f>
        <v>0</v>
      </c>
      <c r="P80" s="253" t="str">
        <f>IF(OR(P$6="2f",P$6=3,P$6=4),0,IF(P38=0,"0",IF(P$77="","0",IF(VLOOKUP(_xlfn.CONCAT(P$38,P$77,P$79),données!$AP$3:$AQ$8,2,0),VLOOKUP(_xlfn.CONCAT(P$38,P$77,P$79),données!$AP$3:$AQ$8,2,0)))))</f>
        <v>0</v>
      </c>
      <c r="Q80" s="253" t="str">
        <f>IF(OR(Q$6="2f",Q$6=3,Q$6=4),0,IF(Q38=0,"0",IF(Q$77="","0",IF(VLOOKUP(_xlfn.CONCAT(Q$38,Q$77,Q$79),données!$AP$3:$AQ$8,2,0),VLOOKUP(_xlfn.CONCAT(Q$38,Q$77,Q$79),données!$AP$3:$AQ$8,2,0)))))</f>
        <v>0</v>
      </c>
      <c r="R80" s="253" t="str">
        <f>IF(OR(R$6="2f",R$6=3,R$6=4),0,IF(R38=0,"0",IF(R$77="","0",IF(VLOOKUP(_xlfn.CONCAT(R$38,R$77,R$79),données!$AP$3:$AQ$8,2,0),VLOOKUP(_xlfn.CONCAT(R$38,R$77,R$79),données!$AP$3:$AQ$8,2,0)))))</f>
        <v>0</v>
      </c>
      <c r="S80" s="253" t="str">
        <f>IF(OR(S$6="2f",S$6=3,S$6=4),0,IF(S38=0,"0",IF(S$77="","0",IF(VLOOKUP(_xlfn.CONCAT(S$38,S$77,S$79),données!$AP$3:$AQ$8,2,0),VLOOKUP(_xlfn.CONCAT(S$38,S$77,S$79),données!$AP$3:$AQ$8,2,0)))))</f>
        <v>0</v>
      </c>
      <c r="T80" s="253" t="str">
        <f>IF(OR(T$6="2f",T$6=3,T$6=4),0,IF(T38=0,"0",IF(T$77="","0",IF(VLOOKUP(_xlfn.CONCAT(T$38,T$77,T$79),données!$AP$3:$AQ$8,2,0),VLOOKUP(_xlfn.CONCAT(T$38,T$77,T$79),données!$AP$3:$AQ$8,2,0)))))</f>
        <v>0</v>
      </c>
      <c r="U80" s="253" t="str">
        <f>IF(OR(U$6="2f",U$6=3,U$6=4),0,IF(U38=0,"0",IF(U$77="","0",IF(VLOOKUP(_xlfn.CONCAT(U$38,U$77,U$79),données!$AP$3:$AQ$8,2,0),VLOOKUP(_xlfn.CONCAT(U$38,U$77,U$79),données!$AP$3:$AQ$8,2,0)))))</f>
        <v>0</v>
      </c>
      <c r="V80" s="253" t="str">
        <f>IF(OR(V$6="2f",V$6=3,V$6=4),0,IF(V38=0,"0",IF(V$77="","0",IF(VLOOKUP(_xlfn.CONCAT(V$38,V$77,V$79),données!$AP$3:$AQ$8,2,0),VLOOKUP(_xlfn.CONCAT(V$38,V$77,V$79),données!$AP$3:$AQ$8,2,0)))))</f>
        <v>0</v>
      </c>
      <c r="W80" s="253" t="str">
        <f>IF(OR(W$6="2f",W$6=3,W$6=4),0,IF(W38=0,"0",IF(W$77="","0",IF(VLOOKUP(_xlfn.CONCAT(W$38,W$77,W$79),données!$AP$3:$AQ$8,2,0),VLOOKUP(_xlfn.CONCAT(W$38,W$77,W$79),données!$AP$3:$AQ$8,2,0)))))</f>
        <v>0</v>
      </c>
      <c r="X80" s="253" t="str">
        <f>IF(OR(X$6="2f",X$6=3,X$6=4),0,IF(X38=0,"0",IF(X$77="","0",IF(VLOOKUP(_xlfn.CONCAT(X$38,X$77,X$79),données!$AP$3:$AQ$8,2,0),VLOOKUP(_xlfn.CONCAT(X$38,X$77,X$79),données!$AP$3:$AQ$8,2,0)))))</f>
        <v>0</v>
      </c>
      <c r="Y80" s="253" t="str">
        <f>IF(OR(Y$6="2f",Y$6=3,Y$6=4),0,IF(Y38=0,"0",IF(Y$77="","0",IF(VLOOKUP(_xlfn.CONCAT(Y$38,Y$77,Y$79),données!$AP$3:$AQ$8,2,0),VLOOKUP(_xlfn.CONCAT(Y$38,Y$77,Y$79),données!$AP$3:$AQ$8,2,0)))))</f>
        <v>0</v>
      </c>
      <c r="Z80" s="253" t="str">
        <f>IF(OR(Z$6="2f",Z$6=3,Z$6=4),0,IF(Z38=0,"0",IF(Z$77="","0",IF(VLOOKUP(_xlfn.CONCAT(Z$38,Z$77,Z$79),données!$AP$3:$AQ$8,2,0),VLOOKUP(_xlfn.CONCAT(Z$38,Z$77,Z$79),données!$AP$3:$AQ$8,2,0)))))</f>
        <v>0</v>
      </c>
      <c r="AA80" s="250" t="str">
        <f t="shared" si="38"/>
        <v/>
      </c>
      <c r="AB80" s="237"/>
      <c r="AC80" s="325"/>
      <c r="AD80" s="238"/>
    </row>
    <row r="81" spans="1:30" ht="15" thickBot="1">
      <c r="A81" s="496"/>
      <c r="B81" s="576" t="s">
        <v>367</v>
      </c>
      <c r="C81" s="577"/>
      <c r="D81" s="254">
        <f>IF(OR(D$6=1,D$6="2s"),0,IF(D48=9,0,IF(D77="",0,IF(VLOOKUP(_xlfn.CONCAT(D38,D77,D79),données!$AV$3:$AW$14,2,0),VLOOKUP(_xlfn.CONCAT(D38,D77,D79),données!$AV$3:$AW$14,2,0),0))))</f>
        <v>0</v>
      </c>
      <c r="E81" s="254">
        <f>IF(OR(E$6=1,E$6="2s"),0,IF(E48=9,0,IF(E77="",0,IF(VLOOKUP(_xlfn.CONCAT(E38,E77,E79),données!$AV$3:$AW$14,2,0),VLOOKUP(_xlfn.CONCAT(E38,E77,E79),données!$AV$3:$AW$14,2,0),0))))</f>
        <v>0</v>
      </c>
      <c r="F81" s="254">
        <f>IF(OR(F$6=1,F$6="2s"),0,IF(F48=9,0,IF(F77="",0,IF(VLOOKUP(_xlfn.CONCAT(F38,F77,F79),données!$AV$3:$AW$14,2,0),VLOOKUP(_xlfn.CONCAT(F38,F77,F79),données!$AV$3:$AW$14,2,0),0))))</f>
        <v>0</v>
      </c>
      <c r="G81" s="254">
        <f>IF(OR(G$6=1,G$6="2s"),0,IF(G48=9,0,IF(G77="",0,IF(VLOOKUP(_xlfn.CONCAT(G38,G77,G79),données!$AV$3:$AW$14,2,0),VLOOKUP(_xlfn.CONCAT(G38,G77,G79),données!$AV$3:$AW$14,2,0),0))))</f>
        <v>0</v>
      </c>
      <c r="H81" s="254">
        <f>IF(OR(H$6=1,H$6="2s"),0,IF(H48=9,0,IF(H77="",0,IF(VLOOKUP(_xlfn.CONCAT(H38,H77,H79),données!$AV$3:$AW$14,2,0),VLOOKUP(_xlfn.CONCAT(H38,H77,H79),données!$AV$3:$AW$14,2,0),0))))</f>
        <v>0</v>
      </c>
      <c r="I81" s="254">
        <f>IF(OR(I$6=1,I$6="2s"),0,IF(I48=9,0,IF(I77="",0,IF(VLOOKUP(_xlfn.CONCAT(I38,I77,I79),données!$AV$3:$AW$14,2,0),VLOOKUP(_xlfn.CONCAT(I38,I77,I79),données!$AV$3:$AW$14,2,0),0))))</f>
        <v>0</v>
      </c>
      <c r="J81" s="254">
        <f>IF(OR(J$6=1,J$6="2s"),0,IF(J48=9,0,IF(J77="",0,IF(VLOOKUP(_xlfn.CONCAT(J38,J77,J79),données!$AV$3:$AW$14,2,0),VLOOKUP(_xlfn.CONCAT(J38,J77,J79),données!$AV$3:$AW$14,2,0),0))))</f>
        <v>0</v>
      </c>
      <c r="K81" s="254">
        <f>IF(OR(K$6=1,K$6="2s"),0,IF(K48=9,0,IF(K77="",0,IF(VLOOKUP(_xlfn.CONCAT(K38,K77,K79),données!$AV$3:$AW$14,2,0),VLOOKUP(_xlfn.CONCAT(K38,K77,K79),données!$AV$3:$AW$14,2,0),0))))</f>
        <v>0</v>
      </c>
      <c r="L81" s="254">
        <f>IF(OR(L$6=1,L$6="2s"),0,IF(L48=9,0,IF(L77="",0,IF(VLOOKUP(_xlfn.CONCAT(L38,L77,L79),données!$AV$3:$AW$14,2,0),VLOOKUP(_xlfn.CONCAT(L38,L77,L79),données!$AV$3:$AW$14,2,0),0))))</f>
        <v>0</v>
      </c>
      <c r="M81" s="254">
        <f>IF(OR(M$6=1,M$6="2s"),0,IF(M48=9,0,IF(M77="",0,IF(VLOOKUP(_xlfn.CONCAT(M38,M77,M79),données!$AV$3:$AW$14,2,0),VLOOKUP(_xlfn.CONCAT(M38,M77,M79),données!$AV$3:$AW$14,2,0),0))))</f>
        <v>0</v>
      </c>
      <c r="N81" s="254">
        <f>IF(OR(N$6=1,N$6="2s"),0,IF(N48=9,0,IF(N77="",0,IF(VLOOKUP(_xlfn.CONCAT(N38,N77,N79),données!$AV$3:$AW$14,2,0),VLOOKUP(_xlfn.CONCAT(N38,N77,N79),données!$AV$3:$AW$14,2,0),0))))</f>
        <v>0</v>
      </c>
      <c r="O81" s="254">
        <f>IF(OR(O$6=1,O$6="2s"),0,IF(O48=9,0,IF(O77="",0,IF(VLOOKUP(_xlfn.CONCAT(O38,O77,O79),données!$AV$3:$AW$14,2,0),VLOOKUP(_xlfn.CONCAT(O38,O77,O79),données!$AV$3:$AW$14,2,0),0))))</f>
        <v>0</v>
      </c>
      <c r="P81" s="254">
        <f>IF(OR(P$6=1,P$6="2s"),0,IF(P48=9,0,IF(P77="",0,IF(VLOOKUP(_xlfn.CONCAT(P38,P77,P79),données!$AV$3:$AW$14,2,0),VLOOKUP(_xlfn.CONCAT(P38,P77,P79),données!$AV$3:$AW$14,2,0),0))))</f>
        <v>0</v>
      </c>
      <c r="Q81" s="254">
        <f>IF(OR(Q$6=1,Q$6="2s"),0,IF(Q48=9,0,IF(Q77="",0,IF(VLOOKUP(_xlfn.CONCAT(Q38,Q77,Q79),données!$AV$3:$AW$14,2,0),VLOOKUP(_xlfn.CONCAT(Q38,Q77,Q79),données!$AV$3:$AW$14,2,0),0))))</f>
        <v>0</v>
      </c>
      <c r="R81" s="254">
        <f>IF(OR(R$6=1,R$6="2s"),0,IF(R48=9,0,IF(R77="",0,IF(VLOOKUP(_xlfn.CONCAT(R38,R77,R79),données!$AV$3:$AW$14,2,0),VLOOKUP(_xlfn.CONCAT(R38,R77,R79),données!$AV$3:$AW$14,2,0),0))))</f>
        <v>0</v>
      </c>
      <c r="S81" s="254">
        <f>IF(OR(S$6=1,S$6="2s"),0,IF(S48=9,0,IF(S77="",0,IF(VLOOKUP(_xlfn.CONCAT(S38,S77,S79),données!$AV$3:$AW$14,2,0),VLOOKUP(_xlfn.CONCAT(S38,S77,S79),données!$AV$3:$AW$14,2,0),0))))</f>
        <v>0</v>
      </c>
      <c r="T81" s="254">
        <f>IF(OR(T$6=1,T$6="2s"),0,IF(T48=9,0,IF(T77="",0,IF(VLOOKUP(_xlfn.CONCAT(T38,T77,T79),données!$AV$3:$AW$14,2,0),VLOOKUP(_xlfn.CONCAT(T38,T77,T79),données!$AV$3:$AW$14,2,0),0))))</f>
        <v>0</v>
      </c>
      <c r="U81" s="254">
        <f>IF(OR(U$6=1,U$6="2s"),0,IF(U48=9,0,IF(U77="",0,IF(VLOOKUP(_xlfn.CONCAT(U38,U77,U79),données!$AV$3:$AW$14,2,0),VLOOKUP(_xlfn.CONCAT(U38,U77,U79),données!$AV$3:$AW$14,2,0),0))))</f>
        <v>0</v>
      </c>
      <c r="V81" s="254">
        <f>IF(OR(V$6=1,V$6="2s"),0,IF(V48=9,0,IF(V77="",0,IF(VLOOKUP(_xlfn.CONCAT(V38,V77,V79),données!$AV$3:$AW$14,2,0),VLOOKUP(_xlfn.CONCAT(V38,V77,V79),données!$AV$3:$AW$14,2,0),0))))</f>
        <v>0</v>
      </c>
      <c r="W81" s="254">
        <f>IF(OR(W$6=1,W$6="2s"),0,IF(W48=9,0,IF(W77="",0,IF(VLOOKUP(_xlfn.CONCAT(W38,W77,W79),données!$AV$3:$AW$14,2,0),VLOOKUP(_xlfn.CONCAT(W38,W77,W79),données!$AV$3:$AW$14,2,0),0))))</f>
        <v>0</v>
      </c>
      <c r="X81" s="254">
        <f>IF(OR(X$6=1,X$6="2s"),0,IF(X48=9,0,IF(X77="",0,IF(VLOOKUP(_xlfn.CONCAT(X38,X77,X79),données!$AV$3:$AW$14,2,0),VLOOKUP(_xlfn.CONCAT(X38,X77,X79),données!$AV$3:$AW$14,2,0),0))))</f>
        <v>0</v>
      </c>
      <c r="Y81" s="254">
        <f>IF(OR(Y$6=1,Y$6="2s"),0,IF(Y48=9,0,IF(Y77="",0,IF(VLOOKUP(_xlfn.CONCAT(Y38,Y77,Y79),données!$AV$3:$AW$14,2,0),VLOOKUP(_xlfn.CONCAT(Y38,Y77,Y79),données!$AV$3:$AW$14,2,0),0))))</f>
        <v>0</v>
      </c>
      <c r="Z81" s="254">
        <f>IF(OR(Z$6=1,Z$6="2s"),0,IF(Z48=9,0,IF(Z77="",0,IF(VLOOKUP(_xlfn.CONCAT(Z38,Z77,Z79),données!$AV$3:$AW$14,2,0),VLOOKUP(_xlfn.CONCAT(Z38,Z77,Z79),données!$AV$3:$AW$14,2,0),0))))</f>
        <v>0</v>
      </c>
      <c r="AA81" s="250" t="str">
        <f t="shared" si="38"/>
        <v/>
      </c>
      <c r="AB81" s="237"/>
      <c r="AC81" s="325"/>
      <c r="AD81" s="238"/>
    </row>
    <row r="82" spans="1:30" ht="15" thickBot="1">
      <c r="A82" s="496"/>
      <c r="B82" s="576" t="s">
        <v>370</v>
      </c>
      <c r="C82" s="577"/>
      <c r="D82" s="254">
        <f>IF(D$6=1,0,IF(D$6="2s",0,IF(D$48=16,0,IF(D$77="",0,IF(VLOOKUP(_xlfn.CONCAT(D$38,D$77,D$79),données!$AX$3:$AY$14,2,0),VLOOKUP(_xlfn.CONCAT(D38,D77,D79),données!$AX$3:$AY$14,2,0),0)))))</f>
        <v>0</v>
      </c>
      <c r="E82" s="254">
        <f>IF(E$6=1,0,IF(E$6="2s",0,IF(E$48=16,0,IF(E$77="",0,IF(VLOOKUP(_xlfn.CONCAT(E$38,E$77,E$79),données!$AX$3:$AY$14,2,0),VLOOKUP(_xlfn.CONCAT(E38,E77,E79),données!$AX$3:$AY$14,2,0),0)))))</f>
        <v>0</v>
      </c>
      <c r="F82" s="254">
        <f>IF(F$6=1,0,IF(F$6="2s",0,IF(F$48=16,0,IF(F$77="",0,IF(VLOOKUP(_xlfn.CONCAT(F$38,F$77,F$79),données!$AX$3:$AY$14,2,0),VLOOKUP(_xlfn.CONCAT(F38,F77,F79),données!$AX$3:$AY$14,2,0),0)))))</f>
        <v>0</v>
      </c>
      <c r="G82" s="254">
        <f>IF(G$6=1,0,IF(G$6="2s",0,IF(G$48=16,0,IF(G$77="",0,IF(VLOOKUP(_xlfn.CONCAT(G$38,G$77,G$79),données!$AX$3:$AY$14,2,0),VLOOKUP(_xlfn.CONCAT(G38,G77,G79),données!$AX$3:$AY$14,2,0),0)))))</f>
        <v>0</v>
      </c>
      <c r="H82" s="254">
        <f>IF(H$6=1,0,IF(H$6="2s",0,IF(H$48=16,0,IF(H$77="",0,IF(VLOOKUP(_xlfn.CONCAT(H$38,H$77,H$79),données!$AX$3:$AY$14,2,0),VLOOKUP(_xlfn.CONCAT(H38,H77,H79),données!$AX$3:$AY$14,2,0),0)))))</f>
        <v>0</v>
      </c>
      <c r="I82" s="254">
        <f>IF(I$6=1,0,IF(I$6="2s",0,IF(I$48=16,0,IF(I$77="",0,IF(VLOOKUP(_xlfn.CONCAT(I$38,I$77,I$79),données!$AX$3:$AY$14,2,0),VLOOKUP(_xlfn.CONCAT(I38,I77,I79),données!$AX$3:$AY$14,2,0),0)))))</f>
        <v>0</v>
      </c>
      <c r="J82" s="254">
        <f>IF(J$6=1,0,IF(J$6="2s",0,IF(J$48=16,0,IF(J$77="",0,IF(VLOOKUP(_xlfn.CONCAT(J$38,J$77,J$79),données!$AX$3:$AY$14,2,0),VLOOKUP(_xlfn.CONCAT(J38,J77,J79),données!$AX$3:$AY$14,2,0),0)))))</f>
        <v>0</v>
      </c>
      <c r="K82" s="254">
        <f>IF(K$6=1,0,IF(K$6="2s",0,IF(K$48=16,0,IF(K$77="",0,IF(VLOOKUP(_xlfn.CONCAT(K$38,K$77,K$79),données!$AX$3:$AY$14,2,0),VLOOKUP(_xlfn.CONCAT(K38,K77,K79),données!$AX$3:$AY$14,2,0),0)))))</f>
        <v>0</v>
      </c>
      <c r="L82" s="254">
        <f>IF(L$6=1,0,IF(L$6="2s",0,IF(L$48=16,0,IF(L$77="",0,IF(VLOOKUP(_xlfn.CONCAT(L$38,L$77,L$79),données!$AX$3:$AY$14,2,0),VLOOKUP(_xlfn.CONCAT(L38,L77,L79),données!$AX$3:$AY$14,2,0),0)))))</f>
        <v>0</v>
      </c>
      <c r="M82" s="254">
        <f>IF(M$6=1,0,IF(M$6="2s",0,IF(M$48=16,0,IF(M$77="",0,IF(VLOOKUP(_xlfn.CONCAT(M$38,M$77,M$79),données!$AX$3:$AY$14,2,0),VLOOKUP(_xlfn.CONCAT(M38,M77,M79),données!$AX$3:$AY$14,2,0),0)))))</f>
        <v>0</v>
      </c>
      <c r="N82" s="254">
        <f>IF(N$6=1,0,IF(N$6="2s",0,IF(N$48=16,0,IF(N$77="",0,IF(VLOOKUP(_xlfn.CONCAT(N$38,N$77,N$79),données!$AX$3:$AY$14,2,0),VLOOKUP(_xlfn.CONCAT(N38,N77,N79),données!$AX$3:$AY$14,2,0),0)))))</f>
        <v>0</v>
      </c>
      <c r="O82" s="254">
        <f>IF(O$6=1,0,IF(O$6="2s",0,IF(O$48=16,0,IF(O$77="",0,IF(VLOOKUP(_xlfn.CONCAT(O$38,O$77,O$79),données!$AX$3:$AY$14,2,0),VLOOKUP(_xlfn.CONCAT(O38,O77,O79),données!$AX$3:$AY$14,2,0),0)))))</f>
        <v>0</v>
      </c>
      <c r="P82" s="254">
        <f>IF(P$6=1,0,IF(P$6="2s",0,IF(P$48=16,0,IF(P$77="",0,IF(VLOOKUP(_xlfn.CONCAT(P$38,P$77,P$79),données!$AX$3:$AY$14,2,0),VLOOKUP(_xlfn.CONCAT(P38,P77,P79),données!$AX$3:$AY$14,2,0),0)))))</f>
        <v>0</v>
      </c>
      <c r="Q82" s="254">
        <f>IF(Q$6=1,0,IF(Q$6="2s",0,IF(Q$48=16,0,IF(Q$77="",0,IF(VLOOKUP(_xlfn.CONCAT(Q$38,Q$77,Q$79),données!$AX$3:$AY$14,2,0),VLOOKUP(_xlfn.CONCAT(Q38,Q77,Q79),données!$AX$3:$AY$14,2,0),0)))))</f>
        <v>0</v>
      </c>
      <c r="R82" s="254">
        <f>IF(R$6=1,0,IF(R$6="2s",0,IF(R$48=16,0,IF(R$77="",0,IF(VLOOKUP(_xlfn.CONCAT(R$38,R$77,R$79),données!$AX$3:$AY$14,2,0),VLOOKUP(_xlfn.CONCAT(R38,R77,R79),données!$AX$3:$AY$14,2,0),0)))))</f>
        <v>0</v>
      </c>
      <c r="S82" s="254">
        <f>IF(S$6=1,0,IF(S$6="2s",0,IF(S$48=16,0,IF(S$77="",0,IF(VLOOKUP(_xlfn.CONCAT(S$38,S$77,S$79),données!$AX$3:$AY$14,2,0),VLOOKUP(_xlfn.CONCAT(S38,S77,S79),données!$AX$3:$AY$14,2,0),0)))))</f>
        <v>0</v>
      </c>
      <c r="T82" s="254">
        <f>IF(T$6=1,0,IF(T$6="2s",0,IF(T$48=16,0,IF(T$77="",0,IF(VLOOKUP(_xlfn.CONCAT(T$38,T$77,T$79),données!$AX$3:$AY$14,2,0),VLOOKUP(_xlfn.CONCAT(T38,T77,T79),données!$AX$3:$AY$14,2,0),0)))))</f>
        <v>0</v>
      </c>
      <c r="U82" s="254">
        <f>IF(U$6=1,0,IF(U$6="2s",0,IF(U$48=16,0,IF(U$77="",0,IF(VLOOKUP(_xlfn.CONCAT(U$38,U$77,U$79),données!$AX$3:$AY$14,2,0),VLOOKUP(_xlfn.CONCAT(U38,U77,U79),données!$AX$3:$AY$14,2,0),0)))))</f>
        <v>0</v>
      </c>
      <c r="V82" s="254">
        <f>IF(V$6=1,0,IF(V$6="2s",0,IF(V$48=16,0,IF(V$77="",0,IF(VLOOKUP(_xlfn.CONCAT(V$38,V$77,V$79),données!$AX$3:$AY$14,2,0),VLOOKUP(_xlfn.CONCAT(V38,V77,V79),données!$AX$3:$AY$14,2,0),0)))))</f>
        <v>0</v>
      </c>
      <c r="W82" s="254">
        <f>IF(W$6=1,0,IF(W$6="2s",0,IF(W$48=16,0,IF(W$77="",0,IF(VLOOKUP(_xlfn.CONCAT(W$38,W$77,W$79),données!$AX$3:$AY$14,2,0),VLOOKUP(_xlfn.CONCAT(W38,W77,W79),données!$AX$3:$AY$14,2,0),0)))))</f>
        <v>0</v>
      </c>
      <c r="X82" s="254">
        <f>IF(X$6=1,0,IF(X$6="2s",0,IF(X$48=16,0,IF(X$77="",0,IF(VLOOKUP(_xlfn.CONCAT(X$38,X$77,X$79),données!$AX$3:$AY$14,2,0),VLOOKUP(_xlfn.CONCAT(X38,X77,X79),données!$AX$3:$AY$14,2,0),0)))))</f>
        <v>0</v>
      </c>
      <c r="Y82" s="254">
        <f>IF(Y$6=1,0,IF(Y$6="2s",0,IF(Y$48=16,0,IF(Y$77="",0,IF(VLOOKUP(_xlfn.CONCAT(Y$38,Y$77,Y$79),données!$AX$3:$AY$14,2,0),VLOOKUP(_xlfn.CONCAT(Y38,Y77,Y79),données!$AX$3:$AY$14,2,0),0)))))</f>
        <v>0</v>
      </c>
      <c r="Z82" s="254">
        <f>IF(Z$6=1,0,IF(Z$6="2s",0,IF(Z$48=16,0,IF(Z$77="",0,IF(VLOOKUP(_xlfn.CONCAT(Z$38,Z$77,Z$79),données!$AX$3:$AY$14,2,0),VLOOKUP(_xlfn.CONCAT(Z38,Z77,Z79),données!$AX$3:$AY$14,2,0),0)))))</f>
        <v>0</v>
      </c>
      <c r="AA82" s="250" t="str">
        <f t="shared" si="38"/>
        <v/>
      </c>
      <c r="AB82" s="237"/>
      <c r="AC82" s="325"/>
      <c r="AD82" s="238"/>
    </row>
    <row r="83" spans="1:30" ht="16" customHeight="1" thickBot="1">
      <c r="A83" s="497"/>
      <c r="B83" s="574" t="s">
        <v>373</v>
      </c>
      <c r="C83" s="575"/>
      <c r="D83" s="46">
        <f t="shared" ref="D83:Z83" si="43">IF(D77="",0,IF(OR(D80&gt;0,D81&gt;0,D82&gt;0),IF(D80&gt;0,D80*D78,IF(D81&gt;0,D81*D$49*D78,IF(D82&gt;0,D82*D$49*D78,0))),0))</f>
        <v>0</v>
      </c>
      <c r="E83" s="46">
        <f t="shared" si="43"/>
        <v>0</v>
      </c>
      <c r="F83" s="46">
        <f t="shared" si="43"/>
        <v>0</v>
      </c>
      <c r="G83" s="46">
        <f t="shared" si="43"/>
        <v>0</v>
      </c>
      <c r="H83" s="46">
        <f t="shared" si="43"/>
        <v>0</v>
      </c>
      <c r="I83" s="46">
        <f t="shared" si="43"/>
        <v>0</v>
      </c>
      <c r="J83" s="46">
        <f t="shared" si="43"/>
        <v>0</v>
      </c>
      <c r="K83" s="46">
        <f t="shared" si="43"/>
        <v>0</v>
      </c>
      <c r="L83" s="46">
        <f t="shared" si="43"/>
        <v>0</v>
      </c>
      <c r="M83" s="46">
        <f t="shared" si="43"/>
        <v>0</v>
      </c>
      <c r="N83" s="46">
        <f t="shared" si="43"/>
        <v>0</v>
      </c>
      <c r="O83" s="46">
        <f t="shared" si="43"/>
        <v>0</v>
      </c>
      <c r="P83" s="46">
        <f t="shared" si="43"/>
        <v>0</v>
      </c>
      <c r="Q83" s="46">
        <f t="shared" si="43"/>
        <v>0</v>
      </c>
      <c r="R83" s="46">
        <f t="shared" si="43"/>
        <v>0</v>
      </c>
      <c r="S83" s="46">
        <f t="shared" si="43"/>
        <v>0</v>
      </c>
      <c r="T83" s="46">
        <f t="shared" si="43"/>
        <v>0</v>
      </c>
      <c r="U83" s="46">
        <f t="shared" si="43"/>
        <v>0</v>
      </c>
      <c r="V83" s="46">
        <f t="shared" si="43"/>
        <v>0</v>
      </c>
      <c r="W83" s="46">
        <f t="shared" si="43"/>
        <v>0</v>
      </c>
      <c r="X83" s="46">
        <f t="shared" si="43"/>
        <v>0</v>
      </c>
      <c r="Y83" s="46">
        <f t="shared" si="43"/>
        <v>0</v>
      </c>
      <c r="Z83" s="46">
        <f t="shared" si="43"/>
        <v>0</v>
      </c>
      <c r="AA83" s="251" t="str">
        <f t="shared" si="38"/>
        <v/>
      </c>
      <c r="AB83" s="237"/>
      <c r="AC83" s="325"/>
      <c r="AD83" s="238"/>
    </row>
    <row r="84" spans="1:30" ht="16" customHeight="1" thickBot="1">
      <c r="A84" s="463" t="s">
        <v>303</v>
      </c>
      <c r="B84" s="466" t="s">
        <v>456</v>
      </c>
      <c r="C84" s="467"/>
      <c r="D84" s="468" t="s">
        <v>296</v>
      </c>
      <c r="E84" s="469"/>
      <c r="F84" s="469"/>
      <c r="G84" s="469"/>
      <c r="H84" s="469"/>
      <c r="I84" s="469"/>
      <c r="J84" s="469"/>
      <c r="K84" s="469"/>
      <c r="L84" s="469"/>
      <c r="M84" s="469"/>
      <c r="N84" s="469"/>
      <c r="O84" s="469"/>
      <c r="P84" s="469"/>
      <c r="Q84" s="469"/>
      <c r="R84" s="469"/>
      <c r="S84" s="469"/>
      <c r="T84" s="469"/>
      <c r="U84" s="469"/>
      <c r="V84" s="469"/>
      <c r="W84" s="469"/>
      <c r="X84" s="469"/>
      <c r="Y84" s="469"/>
      <c r="Z84" s="470"/>
      <c r="AA84" s="251"/>
      <c r="AB84" s="237"/>
      <c r="AC84" s="325"/>
      <c r="AD84" s="238"/>
    </row>
    <row r="85" spans="1:30" ht="15" customHeight="1" thickBot="1">
      <c r="A85" s="464"/>
      <c r="B85" s="510" t="s">
        <v>144</v>
      </c>
      <c r="C85" s="511"/>
      <c r="D85" s="512">
        <f>IF(OR($D$84="non",$D$84=""),0,IF($D$84="oui",IF(AA14=0,0,IF(AA14&lt;=10,1500,IF(AA14&gt;10,0)))))</f>
        <v>0</v>
      </c>
      <c r="E85" s="512"/>
      <c r="F85" s="512"/>
      <c r="G85" s="512"/>
      <c r="H85" s="512"/>
      <c r="I85" s="512"/>
      <c r="J85" s="512"/>
      <c r="K85" s="512"/>
      <c r="L85" s="512"/>
      <c r="M85" s="512"/>
      <c r="N85" s="512"/>
      <c r="O85" s="512"/>
      <c r="P85" s="512"/>
      <c r="Q85" s="512"/>
      <c r="R85" s="512"/>
      <c r="S85" s="512"/>
      <c r="T85" s="512"/>
      <c r="U85" s="512"/>
      <c r="V85" s="512"/>
      <c r="W85" s="512"/>
      <c r="X85" s="512"/>
      <c r="Y85" s="512"/>
      <c r="Z85" s="512"/>
      <c r="AA85" s="250">
        <f t="shared" ref="AA85:AA90" si="44">IF(SUM(D85:Z85)=0,0,SUM(D85:Z85))</f>
        <v>0</v>
      </c>
      <c r="AB85" s="237"/>
      <c r="AC85" s="325"/>
      <c r="AD85" s="238"/>
    </row>
    <row r="86" spans="1:30" ht="15" thickBot="1">
      <c r="A86" s="464"/>
      <c r="B86" s="554" t="s">
        <v>145</v>
      </c>
      <c r="C86" s="555"/>
      <c r="D86" s="556">
        <f>IF(OR($D$84="non",$D$84=""),0,IF($D$84="oui",IF(AA14=0,0,IF(AA14&lt;4,0.18,IF(AA14&lt;=20,0.16,0.14)))))</f>
        <v>0</v>
      </c>
      <c r="E86" s="556"/>
      <c r="F86" s="556"/>
      <c r="G86" s="556"/>
      <c r="H86" s="556"/>
      <c r="I86" s="556"/>
      <c r="J86" s="556"/>
      <c r="K86" s="556"/>
      <c r="L86" s="556"/>
      <c r="M86" s="556"/>
      <c r="N86" s="556"/>
      <c r="O86" s="556"/>
      <c r="P86" s="556"/>
      <c r="Q86" s="556"/>
      <c r="R86" s="556"/>
      <c r="S86" s="556"/>
      <c r="T86" s="556"/>
      <c r="U86" s="556"/>
      <c r="V86" s="556"/>
      <c r="W86" s="556"/>
      <c r="X86" s="556"/>
      <c r="Y86" s="556"/>
      <c r="Z86" s="556"/>
      <c r="AA86" s="250">
        <f t="shared" si="44"/>
        <v>0</v>
      </c>
      <c r="AB86" s="237"/>
      <c r="AC86" s="325"/>
      <c r="AD86" s="238"/>
    </row>
    <row r="87" spans="1:30" ht="15" thickBot="1">
      <c r="A87" s="464"/>
      <c r="B87" s="557" t="s">
        <v>146</v>
      </c>
      <c r="C87" s="558"/>
      <c r="D87" s="559"/>
      <c r="E87" s="559"/>
      <c r="F87" s="559"/>
      <c r="G87" s="559"/>
      <c r="H87" s="559"/>
      <c r="I87" s="559"/>
      <c r="J87" s="559"/>
      <c r="K87" s="559"/>
      <c r="L87" s="559"/>
      <c r="M87" s="559"/>
      <c r="N87" s="559"/>
      <c r="O87" s="559"/>
      <c r="P87" s="559"/>
      <c r="Q87" s="559"/>
      <c r="R87" s="559"/>
      <c r="S87" s="559"/>
      <c r="T87" s="559"/>
      <c r="U87" s="559"/>
      <c r="V87" s="559"/>
      <c r="W87" s="559"/>
      <c r="X87" s="559"/>
      <c r="Y87" s="559"/>
      <c r="Z87" s="559"/>
      <c r="AA87" s="250">
        <f t="shared" si="44"/>
        <v>0</v>
      </c>
      <c r="AB87" s="237"/>
      <c r="AC87" s="325"/>
      <c r="AD87" s="238"/>
    </row>
    <row r="88" spans="1:30" ht="15" thickBot="1">
      <c r="A88" s="464"/>
      <c r="B88" s="557" t="s">
        <v>147</v>
      </c>
      <c r="C88" s="558"/>
      <c r="D88" s="560">
        <f>IF(D86=0,0,(D86*$AA$66)+(D85*(AD14/AA14)))</f>
        <v>0</v>
      </c>
      <c r="E88" s="560"/>
      <c r="F88" s="560"/>
      <c r="G88" s="560"/>
      <c r="H88" s="560"/>
      <c r="I88" s="560"/>
      <c r="J88" s="560"/>
      <c r="K88" s="560"/>
      <c r="L88" s="560"/>
      <c r="M88" s="560"/>
      <c r="N88" s="560"/>
      <c r="O88" s="560"/>
      <c r="P88" s="560"/>
      <c r="Q88" s="560"/>
      <c r="R88" s="560"/>
      <c r="S88" s="560"/>
      <c r="T88" s="560"/>
      <c r="U88" s="560"/>
      <c r="V88" s="560"/>
      <c r="W88" s="560"/>
      <c r="X88" s="560"/>
      <c r="Y88" s="560"/>
      <c r="Z88" s="560"/>
      <c r="AA88" s="250">
        <f t="shared" si="44"/>
        <v>0</v>
      </c>
      <c r="AB88" s="237"/>
      <c r="AC88" s="325"/>
      <c r="AD88" s="238"/>
    </row>
    <row r="89" spans="1:30" ht="15" thickBot="1">
      <c r="A89" s="465"/>
      <c r="B89" s="557" t="s">
        <v>148</v>
      </c>
      <c r="C89" s="558"/>
      <c r="D89" s="47" t="str">
        <f t="shared" ref="D89:Z89" si="45">IF(D13=0,"",IF($D87&gt;$D88,$D88*(D14/$AD14),$D87*(D14/$AD14)))</f>
        <v/>
      </c>
      <c r="E89" s="47" t="str">
        <f t="shared" si="45"/>
        <v/>
      </c>
      <c r="F89" s="47" t="str">
        <f t="shared" si="45"/>
        <v/>
      </c>
      <c r="G89" s="47" t="str">
        <f t="shared" si="45"/>
        <v/>
      </c>
      <c r="H89" s="47" t="str">
        <f t="shared" si="45"/>
        <v/>
      </c>
      <c r="I89" s="47" t="str">
        <f t="shared" si="45"/>
        <v/>
      </c>
      <c r="J89" s="47" t="str">
        <f t="shared" si="45"/>
        <v/>
      </c>
      <c r="K89" s="47" t="str">
        <f t="shared" si="45"/>
        <v/>
      </c>
      <c r="L89" s="47" t="str">
        <f t="shared" si="45"/>
        <v/>
      </c>
      <c r="M89" s="47" t="str">
        <f t="shared" si="45"/>
        <v/>
      </c>
      <c r="N89" s="47" t="str">
        <f t="shared" si="45"/>
        <v/>
      </c>
      <c r="O89" s="47" t="str">
        <f t="shared" si="45"/>
        <v/>
      </c>
      <c r="P89" s="47" t="str">
        <f t="shared" si="45"/>
        <v/>
      </c>
      <c r="Q89" s="47" t="str">
        <f t="shared" si="45"/>
        <v/>
      </c>
      <c r="R89" s="47" t="str">
        <f t="shared" si="45"/>
        <v/>
      </c>
      <c r="S89" s="47" t="str">
        <f t="shared" si="45"/>
        <v/>
      </c>
      <c r="T89" s="47" t="str">
        <f t="shared" si="45"/>
        <v/>
      </c>
      <c r="U89" s="47" t="str">
        <f t="shared" si="45"/>
        <v/>
      </c>
      <c r="V89" s="47" t="str">
        <f t="shared" si="45"/>
        <v/>
      </c>
      <c r="W89" s="47" t="str">
        <f t="shared" si="45"/>
        <v/>
      </c>
      <c r="X89" s="47" t="str">
        <f t="shared" si="45"/>
        <v/>
      </c>
      <c r="Y89" s="47" t="str">
        <f t="shared" si="45"/>
        <v/>
      </c>
      <c r="Z89" s="47" t="str">
        <f t="shared" si="45"/>
        <v/>
      </c>
      <c r="AA89" s="250">
        <f t="shared" si="44"/>
        <v>0</v>
      </c>
      <c r="AB89" s="237"/>
      <c r="AC89" s="325"/>
      <c r="AD89" s="238"/>
    </row>
    <row r="90" spans="1:30" ht="28.5" customHeight="1" thickBot="1">
      <c r="A90" s="48"/>
      <c r="B90" s="578" t="s">
        <v>136</v>
      </c>
      <c r="C90" s="579"/>
      <c r="D90" s="49">
        <f t="shared" ref="D90:Z90" si="46">IF(D14=0,0,IF(D65=0,(D67*$D86)+($D85*(D14/$AB14)),D89))</f>
        <v>0</v>
      </c>
      <c r="E90" s="49">
        <f t="shared" si="46"/>
        <v>0</v>
      </c>
      <c r="F90" s="49">
        <f t="shared" si="46"/>
        <v>0</v>
      </c>
      <c r="G90" s="49">
        <f t="shared" si="46"/>
        <v>0</v>
      </c>
      <c r="H90" s="49">
        <f t="shared" si="46"/>
        <v>0</v>
      </c>
      <c r="I90" s="49">
        <f t="shared" si="46"/>
        <v>0</v>
      </c>
      <c r="J90" s="49">
        <f t="shared" si="46"/>
        <v>0</v>
      </c>
      <c r="K90" s="49">
        <f t="shared" si="46"/>
        <v>0</v>
      </c>
      <c r="L90" s="49">
        <f t="shared" si="46"/>
        <v>0</v>
      </c>
      <c r="M90" s="49">
        <f t="shared" si="46"/>
        <v>0</v>
      </c>
      <c r="N90" s="49">
        <f t="shared" si="46"/>
        <v>0</v>
      </c>
      <c r="O90" s="49">
        <f t="shared" si="46"/>
        <v>0</v>
      </c>
      <c r="P90" s="49">
        <f t="shared" si="46"/>
        <v>0</v>
      </c>
      <c r="Q90" s="49">
        <f t="shared" si="46"/>
        <v>0</v>
      </c>
      <c r="R90" s="49">
        <f t="shared" si="46"/>
        <v>0</v>
      </c>
      <c r="S90" s="49">
        <f t="shared" si="46"/>
        <v>0</v>
      </c>
      <c r="T90" s="49">
        <f t="shared" si="46"/>
        <v>0</v>
      </c>
      <c r="U90" s="49">
        <f t="shared" si="46"/>
        <v>0</v>
      </c>
      <c r="V90" s="49">
        <f t="shared" si="46"/>
        <v>0</v>
      </c>
      <c r="W90" s="49">
        <f t="shared" si="46"/>
        <v>0</v>
      </c>
      <c r="X90" s="49">
        <f t="shared" si="46"/>
        <v>0</v>
      </c>
      <c r="Y90" s="49">
        <f t="shared" si="46"/>
        <v>0</v>
      </c>
      <c r="Z90" s="49">
        <f t="shared" si="46"/>
        <v>0</v>
      </c>
      <c r="AA90" s="250">
        <f t="shared" si="44"/>
        <v>0</v>
      </c>
      <c r="AB90" s="237"/>
      <c r="AC90" s="325"/>
      <c r="AD90" s="238"/>
    </row>
    <row r="91" spans="1:30" ht="15" thickBot="1">
      <c r="A91" s="587" t="s">
        <v>455</v>
      </c>
      <c r="B91" s="588"/>
      <c r="C91" s="589"/>
      <c r="D91" s="50">
        <f t="shared" ref="D91:Z91" si="47">D90+D83+D76+D67</f>
        <v>0</v>
      </c>
      <c r="E91" s="50">
        <f t="shared" si="47"/>
        <v>0</v>
      </c>
      <c r="F91" s="50">
        <f t="shared" si="47"/>
        <v>0</v>
      </c>
      <c r="G91" s="50">
        <f t="shared" si="47"/>
        <v>0</v>
      </c>
      <c r="H91" s="50">
        <f t="shared" si="47"/>
        <v>0</v>
      </c>
      <c r="I91" s="50">
        <f t="shared" si="47"/>
        <v>0</v>
      </c>
      <c r="J91" s="50">
        <f t="shared" si="47"/>
        <v>0</v>
      </c>
      <c r="K91" s="50">
        <f t="shared" si="47"/>
        <v>0</v>
      </c>
      <c r="L91" s="50">
        <f t="shared" si="47"/>
        <v>0</v>
      </c>
      <c r="M91" s="50">
        <f t="shared" si="47"/>
        <v>0</v>
      </c>
      <c r="N91" s="50">
        <f t="shared" si="47"/>
        <v>0</v>
      </c>
      <c r="O91" s="50">
        <f t="shared" si="47"/>
        <v>0</v>
      </c>
      <c r="P91" s="50">
        <f t="shared" si="47"/>
        <v>0</v>
      </c>
      <c r="Q91" s="50">
        <f t="shared" si="47"/>
        <v>0</v>
      </c>
      <c r="R91" s="50">
        <f t="shared" si="47"/>
        <v>0</v>
      </c>
      <c r="S91" s="50">
        <f t="shared" si="47"/>
        <v>0</v>
      </c>
      <c r="T91" s="50">
        <f t="shared" si="47"/>
        <v>0</v>
      </c>
      <c r="U91" s="50">
        <f t="shared" si="47"/>
        <v>0</v>
      </c>
      <c r="V91" s="50">
        <f t="shared" si="47"/>
        <v>0</v>
      </c>
      <c r="W91" s="50">
        <f t="shared" si="47"/>
        <v>0</v>
      </c>
      <c r="X91" s="50">
        <f t="shared" si="47"/>
        <v>0</v>
      </c>
      <c r="Y91" s="50">
        <f t="shared" si="47"/>
        <v>0</v>
      </c>
      <c r="Z91" s="50">
        <f t="shared" si="47"/>
        <v>0</v>
      </c>
      <c r="AA91" s="250">
        <f t="shared" ref="AA91:AA102" si="48">SUM(D91:Z91)</f>
        <v>0</v>
      </c>
      <c r="AB91" s="237"/>
      <c r="AC91" s="325"/>
      <c r="AD91" s="238"/>
    </row>
    <row r="92" spans="1:30" ht="15" thickBot="1">
      <c r="A92" s="460" t="s">
        <v>462</v>
      </c>
      <c r="B92" s="461"/>
      <c r="C92" s="488"/>
      <c r="D92" s="456">
        <f>SUMIF(D$6:Z$6,1,D14:Z14)</f>
        <v>0</v>
      </c>
      <c r="E92" s="456"/>
      <c r="F92" s="456"/>
      <c r="G92" s="456"/>
      <c r="H92" s="456"/>
      <c r="I92" s="456"/>
      <c r="J92" s="456"/>
      <c r="K92" s="456"/>
      <c r="L92" s="456"/>
      <c r="M92" s="456"/>
      <c r="N92" s="456"/>
      <c r="O92" s="456"/>
      <c r="P92" s="456"/>
      <c r="Q92" s="456"/>
      <c r="R92" s="456"/>
      <c r="S92" s="456"/>
      <c r="T92" s="456"/>
      <c r="U92" s="456"/>
      <c r="V92" s="456"/>
      <c r="W92" s="456"/>
      <c r="X92" s="456"/>
      <c r="Y92" s="456"/>
      <c r="Z92" s="457"/>
      <c r="AA92" s="250">
        <f t="shared" si="48"/>
        <v>0</v>
      </c>
      <c r="AB92" s="237"/>
      <c r="AC92" s="325"/>
      <c r="AD92" s="238"/>
    </row>
    <row r="93" spans="1:30" ht="15" thickBot="1">
      <c r="A93" s="460" t="s">
        <v>477</v>
      </c>
      <c r="B93" s="461"/>
      <c r="C93" s="462"/>
      <c r="D93" s="458">
        <f>SUMIF(D6:Z6,1,D12:Z12)</f>
        <v>0</v>
      </c>
      <c r="E93" s="458"/>
      <c r="F93" s="458"/>
      <c r="G93" s="458"/>
      <c r="H93" s="458"/>
      <c r="I93" s="458"/>
      <c r="J93" s="458"/>
      <c r="K93" s="458"/>
      <c r="L93" s="458"/>
      <c r="M93" s="458"/>
      <c r="N93" s="458"/>
      <c r="O93" s="458"/>
      <c r="P93" s="458"/>
      <c r="Q93" s="458"/>
      <c r="R93" s="458"/>
      <c r="S93" s="458"/>
      <c r="T93" s="458"/>
      <c r="U93" s="458"/>
      <c r="V93" s="458"/>
      <c r="W93" s="458"/>
      <c r="X93" s="458"/>
      <c r="Y93" s="458"/>
      <c r="Z93" s="459"/>
      <c r="AA93" s="250">
        <f t="shared" si="48"/>
        <v>0</v>
      </c>
      <c r="AB93" s="237"/>
      <c r="AC93" s="325"/>
      <c r="AD93" s="238"/>
    </row>
    <row r="94" spans="1:30" s="423" customFormat="1" ht="15" thickBot="1">
      <c r="A94" s="583" t="s">
        <v>478</v>
      </c>
      <c r="B94" s="584"/>
      <c r="C94" s="584"/>
      <c r="D94" s="430" t="str">
        <f>IF(D6=1,IF($D93=$D92,0,IF($D93&gt;0.1*$D92,0.1*D14,IF($D93&lt;0.1*$D92,D12))),"")</f>
        <v/>
      </c>
      <c r="E94" s="430" t="str">
        <f t="shared" ref="E94:F94" si="49">IF(E6=1,IF($D93=$D92,0,IF($D93&gt;0.1*$D92,0.1*E14,IF($D93&lt;0.1*$D92,E12))),"")</f>
        <v/>
      </c>
      <c r="F94" s="430" t="str">
        <f t="shared" si="49"/>
        <v/>
      </c>
      <c r="G94" s="430" t="str">
        <f t="shared" ref="G94" si="50">IF(G6=1,IF($D93=$D92,0,IF($D93&gt;0.1*$D92,0.1*G14,IF($D93&lt;0.1*$D92,G12))),"")</f>
        <v/>
      </c>
      <c r="H94" s="430" t="str">
        <f t="shared" ref="H94" si="51">IF(H6=1,IF($D93=$D92,0,IF($D93&gt;0.1*$D92,0.1*H14,IF($D93&lt;0.1*$D92,H12))),"")</f>
        <v/>
      </c>
      <c r="I94" s="430" t="str">
        <f t="shared" ref="I94" si="52">IF(I6=1,IF($D93=$D92,0,IF($D93&gt;0.1*$D92,0.1*I14,IF($D93&lt;0.1*$D92,I12))),"")</f>
        <v/>
      </c>
      <c r="J94" s="430" t="str">
        <f t="shared" ref="J94" si="53">IF(J6=1,IF($D93=$D92,0,IF($D93&gt;0.1*$D92,0.1*J14,IF($D93&lt;0.1*$D92,J12))),"")</f>
        <v/>
      </c>
      <c r="K94" s="430"/>
      <c r="L94" s="430"/>
      <c r="M94" s="430"/>
      <c r="N94" s="430"/>
      <c r="O94" s="430"/>
      <c r="P94" s="430"/>
      <c r="Q94" s="430"/>
      <c r="R94" s="430"/>
      <c r="S94" s="430"/>
      <c r="T94" s="430"/>
      <c r="U94" s="430"/>
      <c r="V94" s="430"/>
      <c r="W94" s="430"/>
      <c r="X94" s="430"/>
      <c r="Y94" s="430"/>
      <c r="Z94" s="447"/>
      <c r="AA94" s="431">
        <f t="shared" si="48"/>
        <v>0</v>
      </c>
      <c r="AB94" s="424"/>
      <c r="AC94" s="425"/>
      <c r="AD94" s="426"/>
    </row>
    <row r="95" spans="1:30" s="423" customFormat="1" ht="15.5" thickTop="1" thickBot="1">
      <c r="A95" s="519" t="s">
        <v>473</v>
      </c>
      <c r="B95" s="520"/>
      <c r="C95" s="520"/>
      <c r="D95" s="432">
        <f>IF(D6=1,D94*(D91/D37),0)</f>
        <v>0</v>
      </c>
      <c r="E95" s="433">
        <f t="shared" ref="E95:G95" si="54">IF(E6=1,E94*(E91/E37),0)</f>
        <v>0</v>
      </c>
      <c r="F95" s="433">
        <f t="shared" si="54"/>
        <v>0</v>
      </c>
      <c r="G95" s="433">
        <f t="shared" si="54"/>
        <v>0</v>
      </c>
      <c r="H95" s="433">
        <f t="shared" ref="H95" si="55">IF(H6=1,H94*(H91/H37),0)</f>
        <v>0</v>
      </c>
      <c r="I95" s="433">
        <f t="shared" ref="I95" si="56">IF(I6=1,I94*(I91/I37),0)</f>
        <v>0</v>
      </c>
      <c r="J95" s="440">
        <f t="shared" ref="J95" si="57">IF(J6=1,J94*(J91/J37),0)</f>
        <v>0</v>
      </c>
      <c r="K95" s="442"/>
      <c r="L95" s="442"/>
      <c r="M95" s="442"/>
      <c r="N95" s="442"/>
      <c r="O95" s="442"/>
      <c r="P95" s="442"/>
      <c r="Q95" s="442"/>
      <c r="R95" s="442"/>
      <c r="S95" s="442"/>
      <c r="T95" s="442"/>
      <c r="U95" s="442"/>
      <c r="V95" s="442"/>
      <c r="W95" s="442"/>
      <c r="X95" s="442"/>
      <c r="Y95" s="444"/>
      <c r="Z95" s="434"/>
      <c r="AA95" s="435">
        <f t="shared" si="48"/>
        <v>0</v>
      </c>
      <c r="AB95" s="427"/>
      <c r="AC95" s="425"/>
      <c r="AD95" s="426"/>
    </row>
    <row r="96" spans="1:30" s="423" customFormat="1" ht="15" thickBot="1">
      <c r="A96" s="517" t="s">
        <v>463</v>
      </c>
      <c r="B96" s="518"/>
      <c r="C96" s="518"/>
      <c r="D96" s="436">
        <f>D95+D91</f>
        <v>0</v>
      </c>
      <c r="E96" s="437">
        <f t="shared" ref="E96:J96" si="58">E95+E91</f>
        <v>0</v>
      </c>
      <c r="F96" s="437">
        <f t="shared" si="58"/>
        <v>0</v>
      </c>
      <c r="G96" s="437">
        <f t="shared" si="58"/>
        <v>0</v>
      </c>
      <c r="H96" s="437">
        <f t="shared" si="58"/>
        <v>0</v>
      </c>
      <c r="I96" s="437">
        <f t="shared" si="58"/>
        <v>0</v>
      </c>
      <c r="J96" s="441">
        <f t="shared" si="58"/>
        <v>0</v>
      </c>
      <c r="K96" s="443"/>
      <c r="L96" s="443"/>
      <c r="M96" s="443"/>
      <c r="N96" s="443"/>
      <c r="O96" s="443"/>
      <c r="P96" s="443"/>
      <c r="Q96" s="443"/>
      <c r="R96" s="443"/>
      <c r="S96" s="443"/>
      <c r="T96" s="443"/>
      <c r="U96" s="443"/>
      <c r="V96" s="443"/>
      <c r="W96" s="443"/>
      <c r="X96" s="443"/>
      <c r="Y96" s="445"/>
      <c r="Z96" s="438"/>
      <c r="AA96" s="439">
        <f t="shared" si="48"/>
        <v>0</v>
      </c>
      <c r="AB96" s="427"/>
      <c r="AC96" s="425"/>
      <c r="AD96" s="426"/>
    </row>
    <row r="97" spans="1:30" s="423" customFormat="1" ht="15" thickBot="1">
      <c r="A97" s="580" t="s">
        <v>149</v>
      </c>
      <c r="B97" s="581"/>
      <c r="C97" s="582"/>
      <c r="D97" s="428">
        <f>_xlfn.IFS(D5=0,,D5="1a",0.5,D5="1b",0.5,D5="1c",0.5,D5="1d",0.5,D5=A2,0.375,D5="2a",0.375,D5="2b",0.375,D5="3a",0.375,D5="3b",0.375)</f>
        <v>0</v>
      </c>
      <c r="E97" s="428" cm="1">
        <f t="array" ref="E97">_xlfn.IFS(E5=0,,E5="1a",0.5,E5="1b",0.5,E5="1c",0.5,E5="1d",0.5,E5=B2,0.375,E5="2a",0.375,E5="2b",0.375,E5="3a",0.375,E5="3b",0.375)</f>
        <v>0</v>
      </c>
      <c r="F97" s="428" cm="1">
        <f t="array" ref="F97">_xlfn.IFS(F5=0,,F5="1a",0.5,F5="1b",0.5,F5="1c",0.5,F5="1d",0.5,F5=C2,0.375,F5="2a",0.375,F5="2b",0.375,F5="3a",0.375,F5="3b",0.375)</f>
        <v>0</v>
      </c>
      <c r="G97" s="428">
        <f>_xlfn.IFS(G5=0,,G5="1a",0.5,G5="1b",0.5,G5="1c",0.5,G5="1d",0.5,G5=D2,0.375,G5="2a",0.375,G5="2b",0.375,G5="3a",0.375,G5="3b",0.375)</f>
        <v>0</v>
      </c>
      <c r="H97" s="428" cm="1">
        <f t="array" ref="H97">_xlfn.IFS(H5=0,,H5="1a",0.5,H5="1b",0.5,H5="1c",0.5,H5="1d",0.5,H5=E2,0.375,H5="2a",0.375,H5="2b",0.375,H5="3a",0.375,H5="3b",0.375)</f>
        <v>0</v>
      </c>
      <c r="I97" s="428" cm="1">
        <f t="array" ref="I97">_xlfn.IFS(I5=0,,I5="1a",0.5,I5="1b",0.5,I5="1c",0.5,I5="1d",0.5,I5=F2,0.375,I5="2a",0.375,I5="2b",0.375,I5="3a",0.375,I5="3b",0.375)</f>
        <v>0</v>
      </c>
      <c r="J97" s="428" cm="1">
        <f t="array" ref="J97">_xlfn.IFS(J5=0,,J5="1a",0.5,J5="1b",0.5,J5="1c",0.5,J5="1d",0.5,J5=G2,0.375,J5="2a",0.375,J5="2b",0.375,J5="3a",0.375,J5="3b",0.375)</f>
        <v>0</v>
      </c>
      <c r="K97" s="428" cm="1">
        <f t="array" ref="K97">_xlfn.IFS(K5=0,,K5="1a",0.5,K5="1b",0.5,K5="1c",0.5,K5="1d",0.5,K5=H2,0.375,K5="2a",0.375,K5="2b",0.375,K5="3a",0.375,K5="3b",0.375)</f>
        <v>0</v>
      </c>
      <c r="L97" s="428" cm="1">
        <f t="array" ref="L97">_xlfn.IFS(L5=0,,L5="1a",0.5,L5="1b",0.5,L5="1c",0.5,L5="1d",0.5,L5=I2,0.375,L5="2a",0.375,L5="2b",0.375,L5="3a",0.375,L5="3b",0.375)</f>
        <v>0</v>
      </c>
      <c r="M97" s="428" cm="1">
        <f t="array" ref="M97">_xlfn.IFS(M5=0,,M5="1a",0.5,M5="1b",0.5,M5="1c",0.5,M5="1d",0.5,M5=J2,0.375,M5="2a",0.375,M5="2b",0.375,M5="3a",0.375,M5="3b",0.375)</f>
        <v>0</v>
      </c>
      <c r="N97" s="428" cm="1">
        <f t="array" ref="N97">_xlfn.IFS(N5=0,,N5="1a",0.5,N5="1b",0.5,N5="1c",0.5,N5="1d",0.5,N5=K2,0.375,N5="2a",0.375,N5="2b",0.375,N5="3a",0.375,N5="3b",0.375)</f>
        <v>0</v>
      </c>
      <c r="O97" s="428" cm="1">
        <f t="array" ref="O97">_xlfn.IFS(O5=0,,O5="1a",0.5,O5="1b",0.5,O5="1c",0.5,O5="1d",0.5,O5=L2,0.375,O5="2a",0.375,O5="2b",0.375,O5="3a",0.375,O5="3b",0.375)</f>
        <v>0</v>
      </c>
      <c r="P97" s="428" cm="1">
        <f t="array" ref="P97">_xlfn.IFS(P5=0,,P5="1a",0.5,P5="1b",0.5,P5="1c",0.5,P5="1d",0.5,P5=M2,0.375,P5="2a",0.375,P5="2b",0.375,P5="3a",0.375,P5="3b",0.375)</f>
        <v>0</v>
      </c>
      <c r="Q97" s="428" cm="1">
        <f t="array" ref="Q97">_xlfn.IFS(Q5=0,,Q5="1a",0.5,Q5="1b",0.5,Q5="1c",0.5,Q5="1d",0.5,Q5=N2,0.375,Q5="2a",0.375,Q5="2b",0.375,Q5="3a",0.375,Q5="3b",0.375)</f>
        <v>0</v>
      </c>
      <c r="R97" s="428" cm="1">
        <f t="array" ref="R97">_xlfn.IFS(R5=0,,R5="1a",0.5,R5="1b",0.5,R5="1c",0.5,R5="1d",0.5,R5=O2,0.375,R5="2a",0.375,R5="2b",0.375,R5="3a",0.375,R5="3b",0.375)</f>
        <v>0</v>
      </c>
      <c r="S97" s="428" cm="1">
        <f t="array" ref="S97">_xlfn.IFS(S5=0,,S5="1a",0.5,S5="1b",0.5,S5="1c",0.5,S5="1d",0.5,S5=P2,0.375,S5="2a",0.375,S5="2b",0.375,S5="3a",0.375,S5="3b",0.375)</f>
        <v>0</v>
      </c>
      <c r="T97" s="428" cm="1">
        <f t="array" ref="T97">_xlfn.IFS(T5=0,,T5="1a",0.5,T5="1b",0.5,T5="1c",0.5,T5="1d",0.5,T5=Q2,0.375,T5="2a",0.375,T5="2b",0.375,T5="3a",0.375,T5="3b",0.375)</f>
        <v>0</v>
      </c>
      <c r="U97" s="428" cm="1">
        <f t="array" ref="U97">_xlfn.IFS(U5=0,,U5="1a",0.5,U5="1b",0.5,U5="1c",0.5,U5="1d",0.5,U5=R2,0.375,U5="2a",0.375,U5="2b",0.375,U5="3a",0.375,U5="3b",0.375)</f>
        <v>0</v>
      </c>
      <c r="V97" s="428" cm="1">
        <f t="array" ref="V97">_xlfn.IFS(V5=0,,V5="1a",0.5,V5="1b",0.5,V5="1c",0.5,V5="1d",0.5,V5=S2,0.375,V5="2a",0.375,V5="2b",0.375,V5="3a",0.375,V5="3b",0.375)</f>
        <v>0</v>
      </c>
      <c r="W97" s="428" cm="1">
        <f t="array" ref="W97">_xlfn.IFS(W5=0,,W5="1a",0.5,W5="1b",0.5,W5="1c",0.5,W5="1d",0.5,W5=T2,0.375,W5="2a",0.375,W5="2b",0.375,W5="3a",0.375,W5="3b",0.375)</f>
        <v>0</v>
      </c>
      <c r="X97" s="428" cm="1">
        <f t="array" ref="X97">_xlfn.IFS(X5=0,,X5="1a",0.5,X5="1b",0.5,X5="1c",0.5,X5="1d",0.5,X5=U2,0.375,X5="2a",0.375,X5="2b",0.375,X5="3a",0.375,X5="3b",0.375)</f>
        <v>0</v>
      </c>
      <c r="Y97" s="446" cm="1">
        <f t="array" ref="Y97">_xlfn.IFS(Y5=0,,Y5="1a",0.5,Y5="1b",0.5,Y5="1c",0.5,Y5="1d",0.5,Y5=V2,0.375,Y5="2a",0.375,Y5="2b",0.375,Y5="3a",0.375,Y5="3b",0.375)</f>
        <v>0</v>
      </c>
      <c r="Z97" s="428" cm="1">
        <f t="array" ref="Z97">_xlfn.IFS(Z5=0,,Z5="1a",0.5,Z5="1b",0.5,Z5="1c",0.5,Z5="1d",0.5,Z5=W2,0.375,Z5="2a",0.375,Z5="2b",0.375,Z5="3a",0.375,Z5="3b",0.375)</f>
        <v>0</v>
      </c>
      <c r="AA97" s="429">
        <f t="shared" si="48"/>
        <v>0</v>
      </c>
      <c r="AB97" s="424"/>
      <c r="AC97" s="425"/>
      <c r="AD97" s="426"/>
    </row>
    <row r="98" spans="1:30" ht="15" thickBot="1">
      <c r="A98" s="561" t="s">
        <v>300</v>
      </c>
      <c r="B98" s="561"/>
      <c r="C98" s="562"/>
      <c r="D98" s="226">
        <f>IF($D$8="",0,IF($D$8="oui",IF(OR(D5="1a",D5="1b",D5="1c",D5="1d"),0.15,IF(OR(D5="2a",D5="2b",D5="3a",D5="3b"),0.1125,0)),0))</f>
        <v>0</v>
      </c>
      <c r="E98" s="226">
        <f t="shared" ref="E98:Z98" si="59">IF($D$8="",0,IF($D$8="oui",IF(OR(E5="1a",E5="1b",E5="1c",E5="1d"),0.15,IF(OR(E5="2a",E5="2b",E5="3a",E5="3b"),0.1125,0)),0))</f>
        <v>0</v>
      </c>
      <c r="F98" s="226">
        <f t="shared" si="59"/>
        <v>0</v>
      </c>
      <c r="G98" s="226">
        <f t="shared" si="59"/>
        <v>0</v>
      </c>
      <c r="H98" s="226">
        <f t="shared" si="59"/>
        <v>0</v>
      </c>
      <c r="I98" s="226">
        <f t="shared" si="59"/>
        <v>0</v>
      </c>
      <c r="J98" s="226">
        <f t="shared" si="59"/>
        <v>0</v>
      </c>
      <c r="K98" s="226">
        <f t="shared" si="59"/>
        <v>0</v>
      </c>
      <c r="L98" s="226">
        <f t="shared" si="59"/>
        <v>0</v>
      </c>
      <c r="M98" s="226">
        <f t="shared" si="59"/>
        <v>0</v>
      </c>
      <c r="N98" s="226">
        <f t="shared" si="59"/>
        <v>0</v>
      </c>
      <c r="O98" s="226">
        <f t="shared" si="59"/>
        <v>0</v>
      </c>
      <c r="P98" s="226">
        <f t="shared" si="59"/>
        <v>0</v>
      </c>
      <c r="Q98" s="226">
        <f t="shared" si="59"/>
        <v>0</v>
      </c>
      <c r="R98" s="226">
        <f t="shared" si="59"/>
        <v>0</v>
      </c>
      <c r="S98" s="226">
        <f t="shared" si="59"/>
        <v>0</v>
      </c>
      <c r="T98" s="226">
        <f t="shared" si="59"/>
        <v>0</v>
      </c>
      <c r="U98" s="226">
        <f t="shared" si="59"/>
        <v>0</v>
      </c>
      <c r="V98" s="226">
        <f t="shared" si="59"/>
        <v>0</v>
      </c>
      <c r="W98" s="226">
        <f t="shared" si="59"/>
        <v>0</v>
      </c>
      <c r="X98" s="226">
        <f t="shared" si="59"/>
        <v>0</v>
      </c>
      <c r="Y98" s="226">
        <f t="shared" si="59"/>
        <v>0</v>
      </c>
      <c r="Z98" s="226">
        <f t="shared" si="59"/>
        <v>0</v>
      </c>
      <c r="AA98" s="250">
        <f t="shared" si="48"/>
        <v>0</v>
      </c>
      <c r="AB98" s="237"/>
      <c r="AC98" s="325"/>
      <c r="AD98" s="238"/>
    </row>
    <row r="99" spans="1:30" ht="15" thickBot="1">
      <c r="A99" s="489" t="s">
        <v>299</v>
      </c>
      <c r="B99" s="490"/>
      <c r="C99" s="491"/>
      <c r="D99" s="226">
        <f>IF($D$9="",0,IF($D$9="oui",IF(OR(D5="1a",D5="1b",D5="1c",D5="1d"),0.15,IF(OR(D5="2a",D5="2b",D5="3a",D5="3b"),0.1125,0)),0))</f>
        <v>0</v>
      </c>
      <c r="E99" s="226">
        <f t="shared" ref="E99:Z99" si="60">IF($D$9="",0,IF($D$9="oui",IF(OR(E5="1a",E5="1b",E5="1c",E5="1d"),0.15,IF(OR(E5="2a",E5="2b",E5="3a",E5="3b"),0.1125,0)),0))</f>
        <v>0</v>
      </c>
      <c r="F99" s="226">
        <f t="shared" si="60"/>
        <v>0</v>
      </c>
      <c r="G99" s="226">
        <f t="shared" si="60"/>
        <v>0</v>
      </c>
      <c r="H99" s="226">
        <f t="shared" si="60"/>
        <v>0</v>
      </c>
      <c r="I99" s="226">
        <f t="shared" si="60"/>
        <v>0</v>
      </c>
      <c r="J99" s="226">
        <f t="shared" si="60"/>
        <v>0</v>
      </c>
      <c r="K99" s="226">
        <f t="shared" si="60"/>
        <v>0</v>
      </c>
      <c r="L99" s="226">
        <f t="shared" si="60"/>
        <v>0</v>
      </c>
      <c r="M99" s="226">
        <f t="shared" si="60"/>
        <v>0</v>
      </c>
      <c r="N99" s="226">
        <f t="shared" si="60"/>
        <v>0</v>
      </c>
      <c r="O99" s="226">
        <f t="shared" si="60"/>
        <v>0</v>
      </c>
      <c r="P99" s="226">
        <f t="shared" si="60"/>
        <v>0</v>
      </c>
      <c r="Q99" s="226">
        <f t="shared" si="60"/>
        <v>0</v>
      </c>
      <c r="R99" s="226">
        <f t="shared" si="60"/>
        <v>0</v>
      </c>
      <c r="S99" s="226">
        <f t="shared" si="60"/>
        <v>0</v>
      </c>
      <c r="T99" s="226">
        <f t="shared" si="60"/>
        <v>0</v>
      </c>
      <c r="U99" s="226">
        <f t="shared" si="60"/>
        <v>0</v>
      </c>
      <c r="V99" s="226">
        <f t="shared" si="60"/>
        <v>0</v>
      </c>
      <c r="W99" s="226">
        <f t="shared" si="60"/>
        <v>0</v>
      </c>
      <c r="X99" s="226">
        <f t="shared" si="60"/>
        <v>0</v>
      </c>
      <c r="Y99" s="226">
        <f t="shared" si="60"/>
        <v>0</v>
      </c>
      <c r="Z99" s="226">
        <f t="shared" si="60"/>
        <v>0</v>
      </c>
      <c r="AA99" s="250">
        <f t="shared" si="48"/>
        <v>0</v>
      </c>
      <c r="AB99" s="237"/>
      <c r="AC99" s="325"/>
      <c r="AD99" s="238"/>
    </row>
    <row r="100" spans="1:30" ht="15" thickBot="1">
      <c r="A100" s="489" t="s">
        <v>301</v>
      </c>
      <c r="B100" s="490"/>
      <c r="C100" s="491"/>
      <c r="D100" s="226">
        <f t="shared" ref="D100:Z100" si="61">SUM(D97:D99)</f>
        <v>0</v>
      </c>
      <c r="E100" s="226">
        <f t="shared" si="61"/>
        <v>0</v>
      </c>
      <c r="F100" s="226">
        <f t="shared" si="61"/>
        <v>0</v>
      </c>
      <c r="G100" s="226">
        <f t="shared" si="61"/>
        <v>0</v>
      </c>
      <c r="H100" s="226">
        <f t="shared" si="61"/>
        <v>0</v>
      </c>
      <c r="I100" s="226">
        <f t="shared" si="61"/>
        <v>0</v>
      </c>
      <c r="J100" s="226">
        <f t="shared" si="61"/>
        <v>0</v>
      </c>
      <c r="K100" s="226">
        <f t="shared" si="61"/>
        <v>0</v>
      </c>
      <c r="L100" s="226">
        <f t="shared" si="61"/>
        <v>0</v>
      </c>
      <c r="M100" s="226">
        <f t="shared" si="61"/>
        <v>0</v>
      </c>
      <c r="N100" s="226">
        <f t="shared" si="61"/>
        <v>0</v>
      </c>
      <c r="O100" s="226">
        <f t="shared" si="61"/>
        <v>0</v>
      </c>
      <c r="P100" s="226">
        <f t="shared" si="61"/>
        <v>0</v>
      </c>
      <c r="Q100" s="226">
        <f t="shared" si="61"/>
        <v>0</v>
      </c>
      <c r="R100" s="226">
        <f t="shared" si="61"/>
        <v>0</v>
      </c>
      <c r="S100" s="226">
        <f t="shared" si="61"/>
        <v>0</v>
      </c>
      <c r="T100" s="226">
        <f t="shared" si="61"/>
        <v>0</v>
      </c>
      <c r="U100" s="226">
        <f t="shared" si="61"/>
        <v>0</v>
      </c>
      <c r="V100" s="226">
        <f t="shared" si="61"/>
        <v>0</v>
      </c>
      <c r="W100" s="226">
        <f t="shared" si="61"/>
        <v>0</v>
      </c>
      <c r="X100" s="226">
        <f t="shared" si="61"/>
        <v>0</v>
      </c>
      <c r="Y100" s="226">
        <f t="shared" si="61"/>
        <v>0</v>
      </c>
      <c r="Z100" s="226">
        <f t="shared" si="61"/>
        <v>0</v>
      </c>
      <c r="AA100" s="250">
        <f t="shared" si="48"/>
        <v>0</v>
      </c>
      <c r="AB100" s="237"/>
      <c r="AC100" s="325"/>
      <c r="AD100" s="238"/>
    </row>
    <row r="101" spans="1:30" ht="15" thickBot="1">
      <c r="A101" s="551" t="s">
        <v>515</v>
      </c>
      <c r="B101" s="552"/>
      <c r="C101" s="553"/>
      <c r="D101" s="51">
        <f>D100*D96</f>
        <v>0</v>
      </c>
      <c r="E101" s="51">
        <f t="shared" ref="E101:Z101" si="62">E100*E96</f>
        <v>0</v>
      </c>
      <c r="F101" s="51">
        <f t="shared" si="62"/>
        <v>0</v>
      </c>
      <c r="G101" s="51">
        <f t="shared" si="62"/>
        <v>0</v>
      </c>
      <c r="H101" s="51">
        <f t="shared" si="62"/>
        <v>0</v>
      </c>
      <c r="I101" s="51">
        <f t="shared" si="62"/>
        <v>0</v>
      </c>
      <c r="J101" s="51">
        <f t="shared" si="62"/>
        <v>0</v>
      </c>
      <c r="K101" s="51">
        <f t="shared" si="62"/>
        <v>0</v>
      </c>
      <c r="L101" s="51">
        <f t="shared" si="62"/>
        <v>0</v>
      </c>
      <c r="M101" s="51">
        <f t="shared" si="62"/>
        <v>0</v>
      </c>
      <c r="N101" s="51">
        <f t="shared" si="62"/>
        <v>0</v>
      </c>
      <c r="O101" s="51">
        <f t="shared" si="62"/>
        <v>0</v>
      </c>
      <c r="P101" s="51">
        <f t="shared" si="62"/>
        <v>0</v>
      </c>
      <c r="Q101" s="51">
        <f t="shared" si="62"/>
        <v>0</v>
      </c>
      <c r="R101" s="51">
        <f t="shared" si="62"/>
        <v>0</v>
      </c>
      <c r="S101" s="51">
        <f t="shared" si="62"/>
        <v>0</v>
      </c>
      <c r="T101" s="51">
        <f t="shared" si="62"/>
        <v>0</v>
      </c>
      <c r="U101" s="51">
        <f t="shared" si="62"/>
        <v>0</v>
      </c>
      <c r="V101" s="51">
        <f t="shared" si="62"/>
        <v>0</v>
      </c>
      <c r="W101" s="51">
        <f t="shared" si="62"/>
        <v>0</v>
      </c>
      <c r="X101" s="51">
        <f t="shared" si="62"/>
        <v>0</v>
      </c>
      <c r="Y101" s="51">
        <f t="shared" si="62"/>
        <v>0</v>
      </c>
      <c r="Z101" s="51">
        <f t="shared" si="62"/>
        <v>0</v>
      </c>
      <c r="AA101" s="250">
        <f t="shared" si="48"/>
        <v>0</v>
      </c>
      <c r="AB101" s="237"/>
      <c r="AC101" s="325"/>
      <c r="AD101" s="238"/>
    </row>
    <row r="102" spans="1:30" ht="15" thickBot="1">
      <c r="A102" s="515" t="s">
        <v>150</v>
      </c>
      <c r="B102" s="516"/>
      <c r="C102" s="550"/>
      <c r="D102" s="448">
        <f>D96-D101</f>
        <v>0</v>
      </c>
      <c r="E102" s="449">
        <f t="shared" ref="E102:Z102" si="63">E96-E101</f>
        <v>0</v>
      </c>
      <c r="F102" s="449">
        <f t="shared" si="63"/>
        <v>0</v>
      </c>
      <c r="G102" s="449">
        <f t="shared" si="63"/>
        <v>0</v>
      </c>
      <c r="H102" s="449">
        <f t="shared" si="63"/>
        <v>0</v>
      </c>
      <c r="I102" s="449">
        <f t="shared" si="63"/>
        <v>0</v>
      </c>
      <c r="J102" s="449">
        <f t="shared" si="63"/>
        <v>0</v>
      </c>
      <c r="K102" s="449">
        <f t="shared" si="63"/>
        <v>0</v>
      </c>
      <c r="L102" s="449">
        <f t="shared" si="63"/>
        <v>0</v>
      </c>
      <c r="M102" s="449">
        <f t="shared" si="63"/>
        <v>0</v>
      </c>
      <c r="N102" s="449">
        <f t="shared" si="63"/>
        <v>0</v>
      </c>
      <c r="O102" s="449">
        <f t="shared" si="63"/>
        <v>0</v>
      </c>
      <c r="P102" s="449">
        <f t="shared" si="63"/>
        <v>0</v>
      </c>
      <c r="Q102" s="449">
        <f t="shared" si="63"/>
        <v>0</v>
      </c>
      <c r="R102" s="449">
        <f t="shared" si="63"/>
        <v>0</v>
      </c>
      <c r="S102" s="449">
        <f t="shared" si="63"/>
        <v>0</v>
      </c>
      <c r="T102" s="449">
        <f t="shared" si="63"/>
        <v>0</v>
      </c>
      <c r="U102" s="449">
        <f t="shared" si="63"/>
        <v>0</v>
      </c>
      <c r="V102" s="449">
        <f t="shared" si="63"/>
        <v>0</v>
      </c>
      <c r="W102" s="449">
        <f t="shared" si="63"/>
        <v>0</v>
      </c>
      <c r="X102" s="449">
        <f t="shared" si="63"/>
        <v>0</v>
      </c>
      <c r="Y102" s="449">
        <f t="shared" si="63"/>
        <v>0</v>
      </c>
      <c r="Z102" s="450">
        <f t="shared" si="63"/>
        <v>0</v>
      </c>
      <c r="AA102" s="250">
        <f t="shared" si="48"/>
        <v>0</v>
      </c>
      <c r="AB102" s="237"/>
      <c r="AC102" s="325"/>
      <c r="AD102" s="238"/>
    </row>
    <row r="103" spans="1:30" ht="15" thickTop="1">
      <c r="A103" s="513" t="s">
        <v>474</v>
      </c>
      <c r="B103" s="514"/>
      <c r="C103" s="514"/>
      <c r="D103" s="451">
        <f>AA101</f>
        <v>0</v>
      </c>
      <c r="E103" s="327"/>
      <c r="F103" s="327"/>
      <c r="G103" s="327"/>
      <c r="H103" s="327"/>
      <c r="I103" s="327"/>
      <c r="J103" s="327"/>
      <c r="K103" s="327"/>
      <c r="L103" s="327"/>
      <c r="M103" s="327"/>
      <c r="N103" s="327"/>
      <c r="O103" s="327"/>
      <c r="P103" s="327"/>
      <c r="Q103" s="327"/>
      <c r="R103" s="327"/>
      <c r="S103" s="327"/>
      <c r="T103" s="327"/>
      <c r="U103" s="327"/>
      <c r="V103" s="327"/>
      <c r="W103" s="327"/>
      <c r="X103" s="327"/>
      <c r="Y103" s="327"/>
      <c r="Z103" s="327"/>
      <c r="AA103" s="328"/>
      <c r="AB103" s="326"/>
      <c r="AC103" s="326"/>
      <c r="AD103" s="326"/>
    </row>
    <row r="104" spans="1:30" ht="15" thickBot="1">
      <c r="A104" s="515" t="s">
        <v>475</v>
      </c>
      <c r="B104" s="516"/>
      <c r="C104" s="516"/>
      <c r="D104" s="452">
        <f>AA102</f>
        <v>0</v>
      </c>
      <c r="E104" s="327"/>
      <c r="F104" s="327"/>
      <c r="G104" s="327"/>
      <c r="H104" s="327"/>
      <c r="I104" s="327"/>
      <c r="J104" s="327"/>
      <c r="K104" s="327"/>
      <c r="L104" s="327"/>
      <c r="M104" s="327"/>
      <c r="N104" s="327"/>
      <c r="O104" s="327"/>
      <c r="P104" s="327"/>
      <c r="Q104" s="327"/>
      <c r="R104" s="327"/>
      <c r="S104" s="327"/>
      <c r="T104" s="327"/>
      <c r="U104" s="327"/>
      <c r="V104" s="327"/>
      <c r="W104" s="327"/>
      <c r="X104" s="327"/>
      <c r="Y104" s="327"/>
      <c r="Z104" s="327"/>
      <c r="AA104" s="328"/>
      <c r="AB104" s="326"/>
      <c r="AC104" s="326"/>
      <c r="AD104" s="326"/>
    </row>
    <row r="105" spans="1:30" ht="15" thickBot="1"/>
    <row r="106" spans="1:30" ht="18.5" thickBot="1">
      <c r="A106" s="507" t="s">
        <v>151</v>
      </c>
      <c r="B106" s="508"/>
      <c r="C106" s="508"/>
      <c r="D106" s="508"/>
      <c r="E106" s="508"/>
      <c r="F106" s="508"/>
      <c r="G106" s="509"/>
    </row>
    <row r="107" spans="1:30" ht="15" thickBot="1"/>
    <row r="108" spans="1:30" ht="43.5">
      <c r="A108" s="485" t="s">
        <v>152</v>
      </c>
      <c r="B108" s="486"/>
      <c r="C108" s="487"/>
      <c r="D108" s="352" t="s">
        <v>414</v>
      </c>
      <c r="E108" s="352" t="s">
        <v>416</v>
      </c>
      <c r="F108" s="352" t="s">
        <v>415</v>
      </c>
      <c r="G108" s="353" t="s">
        <v>417</v>
      </c>
      <c r="H108" s="354" t="s">
        <v>419</v>
      </c>
      <c r="I108" s="354" t="s">
        <v>418</v>
      </c>
      <c r="J108" s="354" t="s">
        <v>481</v>
      </c>
      <c r="K108" s="354" t="s">
        <v>482</v>
      </c>
      <c r="L108" s="354" t="s">
        <v>424</v>
      </c>
      <c r="M108" s="355" t="s">
        <v>153</v>
      </c>
      <c r="N108" s="356" t="s">
        <v>154</v>
      </c>
    </row>
    <row r="109" spans="1:30" ht="15" thickBot="1">
      <c r="A109" s="492" t="s">
        <v>155</v>
      </c>
      <c r="B109" s="493"/>
      <c r="C109" s="494"/>
      <c r="D109" s="362" t="s">
        <v>3</v>
      </c>
      <c r="E109" s="362" t="s">
        <v>4</v>
      </c>
      <c r="F109" s="362" t="s">
        <v>5</v>
      </c>
      <c r="G109" s="363" t="s">
        <v>6</v>
      </c>
      <c r="H109" s="364" t="s">
        <v>7</v>
      </c>
      <c r="I109" s="364" t="s">
        <v>8</v>
      </c>
      <c r="J109" s="364" t="s">
        <v>9</v>
      </c>
      <c r="K109" s="364" t="s">
        <v>10</v>
      </c>
      <c r="L109" s="341"/>
      <c r="M109" s="365"/>
      <c r="N109" s="366"/>
      <c r="R109" s="245"/>
    </row>
    <row r="110" spans="1:30">
      <c r="A110" s="483" t="s">
        <v>156</v>
      </c>
      <c r="B110" s="484"/>
      <c r="C110" s="484"/>
      <c r="D110" s="484"/>
      <c r="E110" s="484"/>
      <c r="F110" s="484"/>
      <c r="G110" s="484"/>
      <c r="H110" s="484"/>
      <c r="I110" s="484"/>
      <c r="J110" s="484"/>
      <c r="K110" s="484"/>
      <c r="L110" s="342"/>
      <c r="M110" s="367" t="s">
        <v>153</v>
      </c>
      <c r="N110" s="344" t="s">
        <v>157</v>
      </c>
    </row>
    <row r="111" spans="1:30">
      <c r="A111" s="477" t="s">
        <v>421</v>
      </c>
      <c r="B111" s="478"/>
      <c r="C111" s="479"/>
      <c r="D111" s="257">
        <f t="shared" ref="D111:K111" si="64">SUMIF($D$5:$Z$5,D$109,$D14:$Z14)-D120</f>
        <v>0</v>
      </c>
      <c r="E111" s="56">
        <f t="shared" si="64"/>
        <v>0</v>
      </c>
      <c r="F111" s="56">
        <f t="shared" si="64"/>
        <v>0</v>
      </c>
      <c r="G111" s="56">
        <f t="shared" si="64"/>
        <v>0</v>
      </c>
      <c r="H111" s="56">
        <f t="shared" si="64"/>
        <v>0</v>
      </c>
      <c r="I111" s="56">
        <f t="shared" si="64"/>
        <v>0</v>
      </c>
      <c r="J111" s="56">
        <f t="shared" si="64"/>
        <v>0</v>
      </c>
      <c r="K111" s="308">
        <f t="shared" si="64"/>
        <v>0</v>
      </c>
      <c r="L111" s="337">
        <f>AA12</f>
        <v>0</v>
      </c>
      <c r="M111" s="305">
        <f>SUM(D111:K111)</f>
        <v>0</v>
      </c>
      <c r="N111" s="345"/>
    </row>
    <row r="112" spans="1:30" ht="16" customHeight="1">
      <c r="A112" s="480" t="s">
        <v>413</v>
      </c>
      <c r="B112" s="481"/>
      <c r="C112" s="482"/>
      <c r="D112" s="255">
        <f>(SUMIFS($D$76:$Z$76,$D$6:$Z$6,"1",$D$5:$Z$5,"1a")+SUMIFS($D$76:$Z$76,$D$6:$Z$6,"2s",$D$5:$Z$5,"1a"))-D121</f>
        <v>0</v>
      </c>
      <c r="E112" s="255">
        <f>(SUMIFS($D$76:$Z$76,$D$6:$Z$6,"1",$D$5:$Z$5,"1b")+SUMIFS($D$76:$Z$76,$D$6:$Z$6,"2s",$D$5:$Z$5,"1b"))-E121</f>
        <v>0</v>
      </c>
      <c r="F112" s="255">
        <f>SUMIFS($D$76:$Z$76,$D$6:$Z$6,"1",$D$5:$Z$5,"1c")+SUMIFS($D$76:$Z$76,$D$6:$Z$6,"2s",$D$5:$Z$5,"1c")-F121</f>
        <v>0</v>
      </c>
      <c r="G112" s="255">
        <f>SUMIFS($D$76:$Z$76,$D$6:$Z$6,"1",$D$5:$Z$5,"1d")+SUMIFS($D$76:$Z$76,$D$6:$Z$6,"2s",$D$5:$Z$5,"1d")-G121</f>
        <v>0</v>
      </c>
      <c r="H112" s="255">
        <f>SUMIFS($D$76:$Z$76,$D$6:$Z$6,"1",$D$5:$Z$5,"2a")+SUMIFS($D$76:$Z$76,$D$6:$Z$6,"2s",$D$5:$Z$5,"2a")-H121</f>
        <v>0</v>
      </c>
      <c r="I112" s="255">
        <f>SUMIFS($D$76:$Z$76,$D$6:$Z$6,"1",$D$5:$Z$5,"2b")+SUMIFS($D$76:$Z$76,$D$6:$Z$6,"2s",$D$5:$Z$5,"2b")-I121</f>
        <v>0</v>
      </c>
      <c r="J112" s="255">
        <f>SUMIFS($D$76:$Z$76,$D$6:$Z$6,"1",$D$5:$Z$5,"3a")+SUMIFS($D$76:$Z$76,$D$6:$Z$6,"2s",$D$5:$Z$5,"3a")-J121</f>
        <v>0</v>
      </c>
      <c r="K112" s="255">
        <f>SUMIFS($D$76:$Z$76,$D$6:$Z$6,"1",$D$5:$Z$5,"3b")+SUMIFS($D$76:$Z$76,$D$6:$Z$6,"2s",$D$5:$Z$5,"3b")-K121</f>
        <v>0</v>
      </c>
      <c r="L112" s="255"/>
      <c r="M112" s="305">
        <f>SUM(D112:K112)</f>
        <v>0</v>
      </c>
      <c r="N112" s="357" t="str">
        <f>IF($M$111=0,"",M112/$M$111)</f>
        <v/>
      </c>
    </row>
    <row r="113" spans="1:14" ht="16" customHeight="1">
      <c r="A113" s="480" t="s">
        <v>476</v>
      </c>
      <c r="B113" s="481"/>
      <c r="C113" s="482"/>
      <c r="D113" s="401">
        <f>SUMIFS($D$76:$Z$76,$D$6:$Z$6,"2f",$D$5:$Z$5,"1a")-D121</f>
        <v>0</v>
      </c>
      <c r="E113" s="401">
        <f>SUMIFS($D$76:$Z$76,$D$6:$Z$6,"2f",$D$5:$Z$5,"1b")-E121</f>
        <v>0</v>
      </c>
      <c r="F113" s="401">
        <f>(SUMIFS($D$76:$Z$76,$D$6:$Z$6,"2f",$D$5:$Z$5,"1c")-F121)</f>
        <v>0</v>
      </c>
      <c r="G113" s="401">
        <f>SUMIFS($D$76:$Z$76,$D$6:$Z$6,"2f",$D$5:$Z$5,"1d")-G121</f>
        <v>0</v>
      </c>
      <c r="H113" s="401">
        <f>SUMIFS($D$76:$Z$76,$D$6:$Z$6,"2f",$D$5:$Z$5,"2a")-H121</f>
        <v>0</v>
      </c>
      <c r="I113" s="401">
        <f>SUMIFS($D$76:$Z$76,$D$6:$Z$6,"2f",$D$5:$Z$5,"2b")-I121</f>
        <v>0</v>
      </c>
      <c r="J113" s="401">
        <f>SUMIFS($D$76:$Z$76,$D$6:$Z$6,"2f",$D$5:$Z$5,"3a")-J121</f>
        <v>0</v>
      </c>
      <c r="K113" s="401">
        <f>SUMIFS($D$76:$Z$76,$D$6:$Z$6,"2f",$D$5:$Z$5,"3b")-K121</f>
        <v>0</v>
      </c>
      <c r="L113" s="402"/>
      <c r="M113" s="256"/>
      <c r="N113" s="357"/>
    </row>
    <row r="114" spans="1:14" ht="16" customHeight="1">
      <c r="A114" s="474" t="s">
        <v>483</v>
      </c>
      <c r="B114" s="475"/>
      <c r="C114" s="475"/>
      <c r="D114" s="406">
        <f>(SUMIFS($D$83:$Z$83,$D$6:$Z$6,"1",$D$5:$Z$5,"1a")+SUMIFS($D$83:$Z$83,$D$6:$Z$6,"2s",$D$5:$Z$5,"1a"))-D122</f>
        <v>0</v>
      </c>
      <c r="E114" s="406">
        <f>(SUMIFS($D$83:$Z$83,$D$6:$Z$6,"1",$D$5:$Z$5,"1b")+SUMIFS($D$83:$Z$83,$D$6:$Z$6,"2s",$D$5:$Z$5,"1b"))-E122</f>
        <v>0</v>
      </c>
      <c r="F114" s="406">
        <f>(SUMIFS($D$83:$Z$83,$D$6:$Z$6,"1",$D$5:$Z$5,"1c")+SUMIFS($D$83:$Z$83,$D$6:$Z$6,"2s",$D$5:$Z$5,"1c"))-F122</f>
        <v>0</v>
      </c>
      <c r="G114" s="406">
        <f>(SUMIFS($D$83:$Z$83,$D$6:$Z$6,"1",$D$5:$Z$5,"1d")+SUMIFS($D$83:$Z$83,$D$6:$Z$6,"2s",$D$5:$Z$5,"1d"))-G122</f>
        <v>0</v>
      </c>
      <c r="H114" s="406">
        <f>(SUMIFS($D$83:$Z$83,$D$6:$Z$6,"1",$D$5:$Z$5,"2a")+SUMIFS($D$83:$Z$83,$D$6:$Z$6,"2s",$D$5:$Z$5,"2a"))-H122</f>
        <v>0</v>
      </c>
      <c r="I114" s="406">
        <f>(SUMIFS($D$83:$Z$83,$D$6:$Z$6,"1",$D$5:$Z$5,"2b")+SUMIFS($D$83:$Z$83,$D$6:$Z$6,"2s",$D$5:$Z$5,"2b"))-I122</f>
        <v>0</v>
      </c>
      <c r="J114" s="406">
        <f>(SUMIFS($D$83:$Z$83,$D$6:$Z$6,"1",$D$5:$Z$5,"3a")+SUMIFS($D$83:$Z$83,$D$6:$Z$6,"2s",$D$5:$Z$5,"3a"))-J122</f>
        <v>0</v>
      </c>
      <c r="K114" s="406">
        <f>(SUMIFS($D$83:$Z$83,$D$6:$Z$6,"1",$D$5:$Z$5,"3b")+SUMIFS($D$83:$Z$83,$D$6:$Z$6,"2s",$D$5:$Z$5,"3b"))-K122</f>
        <v>0</v>
      </c>
      <c r="L114" s="405"/>
      <c r="M114" s="256"/>
      <c r="N114" s="357"/>
    </row>
    <row r="115" spans="1:14">
      <c r="A115" s="474" t="s">
        <v>484</v>
      </c>
      <c r="B115" s="475"/>
      <c r="C115" s="476"/>
      <c r="D115" s="403">
        <f>SUMIFS($D$83:$Z$83,$D$6:$Z$6,"2f",$D$5:$Z$5,"1a")-D121</f>
        <v>0</v>
      </c>
      <c r="E115" s="403">
        <f>SUMIFS($D$83:$Z$83,$D$6:$Z$6,"2f",$D$5:$Z$5,"1b")-E121</f>
        <v>0</v>
      </c>
      <c r="F115" s="403">
        <f>SUMIFS($D$83:$Z$83,$D$6:$Z$6,"2f",$D$5:$Z$5,"1c")-F121</f>
        <v>0</v>
      </c>
      <c r="G115" s="403">
        <f>SUMIFS($D$83:$Z$83,$D$6:$Z$6,"2f",$D$5:$Z$5,"1d")-G121</f>
        <v>0</v>
      </c>
      <c r="H115" s="403">
        <f>SUMIFS($D$83:$Z$83,$D$6:$Z$6,"2f",$D$5:$Z$5,"2a")-H121</f>
        <v>0</v>
      </c>
      <c r="I115" s="403">
        <f>SUMIFS($D$83:$Z$83,$D$6:$Z$6,"2f",$D$5:$Z$5,"2b")-I121</f>
        <v>0</v>
      </c>
      <c r="J115" s="403">
        <f>SUMIFS($D$83:$Z$83,$D$6:$Z$6,"2f",$D$5:$Z$5,"3a")-J121</f>
        <v>0</v>
      </c>
      <c r="K115" s="404">
        <f>SUMIFS($D$83:$Z$83,$D$6:$Z$6,"2f",$D$5:$Z$5,"3b")-J121</f>
        <v>0</v>
      </c>
      <c r="L115" s="404"/>
      <c r="M115" s="256">
        <f>SUM(D115:K115)</f>
        <v>0</v>
      </c>
      <c r="N115" s="357" t="str">
        <f>IF($M$111=0,"",M115/$M$111)</f>
        <v/>
      </c>
    </row>
    <row r="116" spans="1:14">
      <c r="A116" s="498" t="s">
        <v>485</v>
      </c>
      <c r="B116" s="499"/>
      <c r="C116" s="500"/>
      <c r="D116" s="57">
        <f>SUMIF($D$5:$Z$5,D$109,$D67:$Z67)</f>
        <v>0</v>
      </c>
      <c r="E116" s="57">
        <f t="shared" ref="E116:K116" si="65">SUMIF($D$5:$Z$5,E$109,$D67:$Z67)</f>
        <v>0</v>
      </c>
      <c r="F116" s="57">
        <f t="shared" si="65"/>
        <v>0</v>
      </c>
      <c r="G116" s="57">
        <f>SUMIF($D$5:$Z$5,G$109,$D67:$Z67)</f>
        <v>0</v>
      </c>
      <c r="H116" s="57">
        <f t="shared" si="65"/>
        <v>0</v>
      </c>
      <c r="I116" s="57">
        <f t="shared" si="65"/>
        <v>0</v>
      </c>
      <c r="J116" s="57">
        <f t="shared" si="65"/>
        <v>0</v>
      </c>
      <c r="K116" s="338">
        <f t="shared" si="65"/>
        <v>0</v>
      </c>
      <c r="L116" s="337"/>
      <c r="M116" s="58">
        <f>SUM(D116:K116)</f>
        <v>0</v>
      </c>
      <c r="N116" s="358" t="str">
        <f>IF($M$111=0,"",M116/$M$111)</f>
        <v/>
      </c>
    </row>
    <row r="117" spans="1:14">
      <c r="A117" s="498" t="s">
        <v>486</v>
      </c>
      <c r="B117" s="499"/>
      <c r="C117" s="500"/>
      <c r="D117" s="407"/>
      <c r="E117" s="407"/>
      <c r="F117" s="407"/>
      <c r="G117" s="407"/>
      <c r="H117" s="407"/>
      <c r="I117" s="407"/>
      <c r="J117" s="407"/>
      <c r="K117" s="408"/>
      <c r="L117" s="341"/>
      <c r="M117" s="409"/>
      <c r="N117" s="410"/>
    </row>
    <row r="118" spans="1:14" ht="15" thickBot="1">
      <c r="A118" s="501" t="s">
        <v>158</v>
      </c>
      <c r="B118" s="502"/>
      <c r="C118" s="503"/>
      <c r="D118" s="359">
        <f t="shared" ref="D118:K118" si="66">SUMIF($D$5:$Z$5,D$109,$D90:$Z90)-D123</f>
        <v>0</v>
      </c>
      <c r="E118" s="359">
        <f t="shared" si="66"/>
        <v>0</v>
      </c>
      <c r="F118" s="359">
        <f t="shared" si="66"/>
        <v>0</v>
      </c>
      <c r="G118" s="359">
        <f t="shared" si="66"/>
        <v>0</v>
      </c>
      <c r="H118" s="359">
        <f t="shared" si="66"/>
        <v>0</v>
      </c>
      <c r="I118" s="359">
        <f t="shared" si="66"/>
        <v>0</v>
      </c>
      <c r="J118" s="359">
        <f t="shared" si="66"/>
        <v>0</v>
      </c>
      <c r="K118" s="360">
        <f t="shared" si="66"/>
        <v>0</v>
      </c>
      <c r="L118" s="349"/>
      <c r="M118" s="350">
        <f>SUM(D118:K118)</f>
        <v>0</v>
      </c>
      <c r="N118" s="361" t="str">
        <f>IF($M$111=0,"",M118/$M$111)</f>
        <v/>
      </c>
    </row>
    <row r="119" spans="1:14">
      <c r="A119" s="504" t="s">
        <v>159</v>
      </c>
      <c r="B119" s="505"/>
      <c r="C119" s="505"/>
      <c r="D119" s="505"/>
      <c r="E119" s="505"/>
      <c r="F119" s="505"/>
      <c r="G119" s="506"/>
      <c r="H119" s="342"/>
      <c r="I119" s="342"/>
      <c r="J119" s="342"/>
      <c r="K119" s="342"/>
      <c r="L119" s="342"/>
      <c r="M119" s="343" t="s">
        <v>153</v>
      </c>
      <c r="N119" s="344" t="s">
        <v>157</v>
      </c>
    </row>
    <row r="120" spans="1:14">
      <c r="A120" s="471" t="s">
        <v>160</v>
      </c>
      <c r="B120" s="472"/>
      <c r="C120" s="473"/>
      <c r="D120" s="59">
        <f t="shared" ref="D120:K120" si="67">SUMIF($D$5:$Z$5,D$109,$D13:$Z13)</f>
        <v>0</v>
      </c>
      <c r="E120" s="59">
        <f t="shared" si="67"/>
        <v>0</v>
      </c>
      <c r="F120" s="59">
        <f t="shared" si="67"/>
        <v>0</v>
      </c>
      <c r="G120" s="59">
        <f t="shared" si="67"/>
        <v>0</v>
      </c>
      <c r="H120" s="59">
        <f t="shared" si="67"/>
        <v>0</v>
      </c>
      <c r="I120" s="59">
        <f t="shared" si="67"/>
        <v>0</v>
      </c>
      <c r="J120" s="59">
        <f t="shared" si="67"/>
        <v>0</v>
      </c>
      <c r="K120" s="339">
        <f t="shared" si="67"/>
        <v>0</v>
      </c>
      <c r="L120" s="337"/>
      <c r="M120" s="60">
        <f>SUM(D120:K120)</f>
        <v>0</v>
      </c>
      <c r="N120" s="345"/>
    </row>
    <row r="121" spans="1:14">
      <c r="A121" s="523" t="s">
        <v>161</v>
      </c>
      <c r="B121" s="524"/>
      <c r="C121" s="525"/>
      <c r="D121" s="61">
        <f t="shared" ref="D121:K121" si="68">SUMIF($D$5:$Z$5,D$109,$D66:$Z66)</f>
        <v>0</v>
      </c>
      <c r="E121" s="61">
        <f t="shared" si="68"/>
        <v>0</v>
      </c>
      <c r="F121" s="61">
        <f t="shared" si="68"/>
        <v>0</v>
      </c>
      <c r="G121" s="61">
        <f t="shared" si="68"/>
        <v>0</v>
      </c>
      <c r="H121" s="61">
        <f t="shared" si="68"/>
        <v>0</v>
      </c>
      <c r="I121" s="61">
        <f t="shared" si="68"/>
        <v>0</v>
      </c>
      <c r="J121" s="61">
        <f t="shared" si="68"/>
        <v>0</v>
      </c>
      <c r="K121" s="340">
        <f t="shared" si="68"/>
        <v>0</v>
      </c>
      <c r="L121" s="337"/>
      <c r="M121" s="58">
        <f>SUM(D121:K121)</f>
        <v>0</v>
      </c>
      <c r="N121" s="346" t="str">
        <f>IF($M$120=0,"",M121/$M$120)</f>
        <v/>
      </c>
    </row>
    <row r="122" spans="1:14">
      <c r="A122" s="523" t="s">
        <v>162</v>
      </c>
      <c r="B122" s="524"/>
      <c r="C122" s="525"/>
      <c r="D122" s="61">
        <f t="shared" ref="D122:K122" si="69">SUMIF($D$5:$Z$5,D$109,$D75:$Z75)</f>
        <v>0</v>
      </c>
      <c r="E122" s="61">
        <f t="shared" si="69"/>
        <v>0</v>
      </c>
      <c r="F122" s="61">
        <f t="shared" si="69"/>
        <v>0</v>
      </c>
      <c r="G122" s="61">
        <f t="shared" si="69"/>
        <v>0</v>
      </c>
      <c r="H122" s="61">
        <f t="shared" si="69"/>
        <v>0</v>
      </c>
      <c r="I122" s="61">
        <f t="shared" si="69"/>
        <v>0</v>
      </c>
      <c r="J122" s="61">
        <f t="shared" si="69"/>
        <v>0</v>
      </c>
      <c r="K122" s="340">
        <f t="shared" si="69"/>
        <v>0</v>
      </c>
      <c r="L122" s="337"/>
      <c r="M122" s="58">
        <f>SUM(D122:K122)</f>
        <v>0</v>
      </c>
      <c r="N122" s="346" t="str">
        <f>IF($M$120=0,"",M122/$M$120)</f>
        <v/>
      </c>
    </row>
    <row r="123" spans="1:14" ht="15" thickBot="1">
      <c r="A123" s="526" t="s">
        <v>163</v>
      </c>
      <c r="B123" s="527"/>
      <c r="C123" s="528"/>
      <c r="D123" s="347">
        <f t="shared" ref="D123:K123" si="70">SUMIF($D$5:$Z$5,D$109,$D89:$Z89)</f>
        <v>0</v>
      </c>
      <c r="E123" s="347">
        <f t="shared" si="70"/>
        <v>0</v>
      </c>
      <c r="F123" s="347">
        <f t="shared" si="70"/>
        <v>0</v>
      </c>
      <c r="G123" s="347">
        <f t="shared" si="70"/>
        <v>0</v>
      </c>
      <c r="H123" s="347">
        <f t="shared" si="70"/>
        <v>0</v>
      </c>
      <c r="I123" s="347">
        <f t="shared" si="70"/>
        <v>0</v>
      </c>
      <c r="J123" s="347">
        <f t="shared" si="70"/>
        <v>0</v>
      </c>
      <c r="K123" s="348">
        <f t="shared" si="70"/>
        <v>0</v>
      </c>
      <c r="L123" s="349"/>
      <c r="M123" s="350">
        <f>SUM(D123:K123)</f>
        <v>0</v>
      </c>
      <c r="N123" s="351" t="str">
        <f>IF($M$120=0,"",M123/$M$120)</f>
        <v/>
      </c>
    </row>
    <row r="124" spans="1:14" ht="15" thickBot="1">
      <c r="A124" s="539" t="s">
        <v>164</v>
      </c>
      <c r="B124" s="540"/>
      <c r="C124" s="540"/>
      <c r="D124" s="540"/>
      <c r="E124" s="540"/>
      <c r="F124" s="540"/>
      <c r="G124" s="540"/>
      <c r="H124" s="540"/>
      <c r="I124" s="540"/>
      <c r="J124" s="540"/>
      <c r="K124" s="540"/>
      <c r="M124" s="215" t="s">
        <v>153</v>
      </c>
      <c r="N124" s="329" t="s">
        <v>157</v>
      </c>
    </row>
    <row r="125" spans="1:14">
      <c r="A125" s="529" t="s">
        <v>165</v>
      </c>
      <c r="B125" s="530"/>
      <c r="C125" s="530"/>
      <c r="D125" s="369">
        <f>D112+D116+D118+D121+D122+D123</f>
        <v>0</v>
      </c>
      <c r="E125" s="369">
        <f>E112+E116+E118+E121+E122+E123</f>
        <v>0</v>
      </c>
      <c r="F125" s="369">
        <f>F112+F116+F118+F121+F122+F123</f>
        <v>0</v>
      </c>
      <c r="G125" s="369">
        <f>G112+G116+G118+G121+G122+G123</f>
        <v>0</v>
      </c>
      <c r="H125" s="369">
        <f t="shared" ref="H125:K125" si="71">H112+H116+H118+H121+H122+H123</f>
        <v>0</v>
      </c>
      <c r="I125" s="369">
        <f t="shared" si="71"/>
        <v>0</v>
      </c>
      <c r="J125" s="369">
        <f t="shared" si="71"/>
        <v>0</v>
      </c>
      <c r="K125" s="369">
        <f t="shared" si="71"/>
        <v>0</v>
      </c>
      <c r="L125" s="370"/>
      <c r="M125" s="371">
        <f>SUM(D125:K125)</f>
        <v>0</v>
      </c>
      <c r="N125" s="372" t="str">
        <f>IF(AA14=0,"",M125/AA14)</f>
        <v/>
      </c>
    </row>
    <row r="126" spans="1:14" ht="15" thickBot="1">
      <c r="A126" s="373" t="s">
        <v>464</v>
      </c>
      <c r="B126" s="374"/>
      <c r="C126" s="374"/>
      <c r="D126" s="375"/>
      <c r="E126" s="375"/>
      <c r="F126" s="375"/>
      <c r="G126" s="375"/>
      <c r="H126" s="375"/>
      <c r="I126" s="375"/>
      <c r="J126" s="375"/>
      <c r="K126" s="375"/>
      <c r="L126" s="376">
        <f>AA95</f>
        <v>0</v>
      </c>
      <c r="M126" s="376">
        <f>L126</f>
        <v>0</v>
      </c>
      <c r="N126" s="377" t="e">
        <f>M126/D92</f>
        <v>#DIV/0!</v>
      </c>
    </row>
    <row r="127" spans="1:14" ht="15" thickBot="1">
      <c r="A127" s="330"/>
      <c r="B127" s="331"/>
      <c r="C127" s="331"/>
      <c r="D127" s="332"/>
      <c r="E127" s="332"/>
      <c r="F127" s="332"/>
      <c r="G127" s="333"/>
      <c r="H127" s="332"/>
      <c r="I127" s="332"/>
      <c r="J127" s="332"/>
      <c r="K127" s="332"/>
      <c r="M127" s="334"/>
      <c r="N127" s="335"/>
    </row>
    <row r="128" spans="1:14">
      <c r="A128" s="531" t="s">
        <v>166</v>
      </c>
      <c r="B128" s="532"/>
      <c r="C128" s="532"/>
      <c r="D128" s="532"/>
      <c r="E128" s="532"/>
      <c r="F128" s="532"/>
      <c r="G128" s="532"/>
      <c r="H128" s="370"/>
      <c r="I128" s="370"/>
      <c r="J128" s="370"/>
      <c r="K128" s="370"/>
      <c r="L128" s="370"/>
      <c r="M128" s="382" t="s">
        <v>153</v>
      </c>
      <c r="N128" s="383" t="s">
        <v>157</v>
      </c>
    </row>
    <row r="129" spans="1:14">
      <c r="A129" s="533" t="s">
        <v>420</v>
      </c>
      <c r="B129" s="534"/>
      <c r="C129" s="534"/>
      <c r="D129" s="379">
        <f t="shared" ref="D129:K129" si="72">SUMIF($D$5:$Z$5,D$109,$D101:$Z101)</f>
        <v>0</v>
      </c>
      <c r="E129" s="379">
        <f t="shared" si="72"/>
        <v>0</v>
      </c>
      <c r="F129" s="379">
        <f t="shared" si="72"/>
        <v>0</v>
      </c>
      <c r="G129" s="379">
        <f t="shared" si="72"/>
        <v>0</v>
      </c>
      <c r="H129" s="379">
        <f t="shared" si="72"/>
        <v>0</v>
      </c>
      <c r="I129" s="379">
        <f t="shared" si="72"/>
        <v>0</v>
      </c>
      <c r="J129" s="379">
        <f t="shared" si="72"/>
        <v>0</v>
      </c>
      <c r="K129" s="379">
        <f t="shared" si="72"/>
        <v>0</v>
      </c>
      <c r="L129" s="337">
        <f>D95*D100</f>
        <v>0</v>
      </c>
      <c r="M129" s="368">
        <f>SUM(D129:L129)</f>
        <v>0</v>
      </c>
      <c r="N129" s="384"/>
    </row>
    <row r="130" spans="1:14">
      <c r="A130" s="535" t="s">
        <v>479</v>
      </c>
      <c r="B130" s="536"/>
      <c r="C130" s="536"/>
      <c r="D130" s="411"/>
      <c r="E130" s="411"/>
      <c r="F130" s="411"/>
      <c r="G130" s="411"/>
      <c r="H130" s="411"/>
      <c r="I130" s="411"/>
      <c r="J130" s="411"/>
      <c r="K130" s="411"/>
      <c r="L130" s="411"/>
      <c r="M130" s="368">
        <f>D130</f>
        <v>0</v>
      </c>
      <c r="N130" s="384"/>
    </row>
    <row r="131" spans="1:14">
      <c r="A131" s="547" t="s">
        <v>480</v>
      </c>
      <c r="B131" s="548"/>
      <c r="C131" s="549"/>
      <c r="D131" s="411"/>
      <c r="E131" s="411"/>
      <c r="F131" s="411"/>
      <c r="G131" s="411"/>
      <c r="H131" s="411"/>
      <c r="I131" s="411"/>
      <c r="J131" s="411"/>
      <c r="K131" s="411"/>
      <c r="L131" s="411"/>
      <c r="M131" s="368">
        <f>D131</f>
        <v>0</v>
      </c>
      <c r="N131" s="384"/>
    </row>
    <row r="132" spans="1:14">
      <c r="A132" s="533" t="s">
        <v>167</v>
      </c>
      <c r="B132" s="534"/>
      <c r="C132" s="534"/>
      <c r="D132" s="381">
        <f t="shared" ref="D132:L132" si="73">SUMIF($D$5:$Z$5,D$109,$D102:$Z102)-D130</f>
        <v>0</v>
      </c>
      <c r="E132" s="381">
        <f t="shared" si="73"/>
        <v>0</v>
      </c>
      <c r="F132" s="381">
        <f t="shared" si="73"/>
        <v>0</v>
      </c>
      <c r="G132" s="381">
        <f t="shared" si="73"/>
        <v>0</v>
      </c>
      <c r="H132" s="381">
        <f t="shared" si="73"/>
        <v>0</v>
      </c>
      <c r="I132" s="381">
        <f t="shared" si="73"/>
        <v>0</v>
      </c>
      <c r="J132" s="381">
        <f t="shared" si="73"/>
        <v>0</v>
      </c>
      <c r="K132" s="381">
        <f t="shared" si="73"/>
        <v>0</v>
      </c>
      <c r="L132" s="381">
        <f t="shared" si="73"/>
        <v>0</v>
      </c>
      <c r="M132" s="368">
        <f>SUM(D132:G132)</f>
        <v>0</v>
      </c>
      <c r="N132" s="384"/>
    </row>
    <row r="133" spans="1:14">
      <c r="A133" s="537" t="s">
        <v>168</v>
      </c>
      <c r="B133" s="538"/>
      <c r="C133" s="538"/>
      <c r="D133" s="544">
        <f>AA96</f>
        <v>0</v>
      </c>
      <c r="E133" s="545"/>
      <c r="F133" s="545"/>
      <c r="G133" s="545"/>
      <c r="H133" s="545"/>
      <c r="I133" s="545"/>
      <c r="J133" s="545"/>
      <c r="K133" s="545"/>
      <c r="L133" s="546"/>
      <c r="M133" s="380"/>
      <c r="N133" s="385" t="str">
        <f>IF(D133=0,"",D133/AA14)</f>
        <v/>
      </c>
    </row>
    <row r="134" spans="1:14" ht="15" thickBot="1">
      <c r="A134" s="521" t="s">
        <v>487</v>
      </c>
      <c r="B134" s="522"/>
      <c r="C134" s="522"/>
      <c r="D134" s="541">
        <f>D103</f>
        <v>0</v>
      </c>
      <c r="E134" s="542"/>
      <c r="F134" s="542"/>
      <c r="G134" s="542"/>
      <c r="H134" s="542"/>
      <c r="I134" s="542"/>
      <c r="J134" s="542"/>
      <c r="K134" s="542"/>
      <c r="L134" s="543"/>
      <c r="M134" s="386"/>
      <c r="N134" s="387" t="str">
        <f>IF(AA14=0,"",D134/AA14)</f>
        <v/>
      </c>
    </row>
    <row r="145" spans="11:11">
      <c r="K145" s="262"/>
    </row>
    <row r="169" spans="4:4">
      <c r="D169" s="245"/>
    </row>
  </sheetData>
  <dataConsolidate/>
  <mergeCells count="108">
    <mergeCell ref="D39:Z39"/>
    <mergeCell ref="B40:B47"/>
    <mergeCell ref="A117:C117"/>
    <mergeCell ref="A3:Z3"/>
    <mergeCell ref="A4:B4"/>
    <mergeCell ref="A5:C5"/>
    <mergeCell ref="A6:C6"/>
    <mergeCell ref="A8:C8"/>
    <mergeCell ref="A7:C7"/>
    <mergeCell ref="D8:Z8"/>
    <mergeCell ref="A64:C64"/>
    <mergeCell ref="A56:A61"/>
    <mergeCell ref="A40:A47"/>
    <mergeCell ref="A50:A55"/>
    <mergeCell ref="A13:C13"/>
    <mergeCell ref="A14:B14"/>
    <mergeCell ref="A15:A36"/>
    <mergeCell ref="A37:C37"/>
    <mergeCell ref="B38:C38"/>
    <mergeCell ref="B39:C39"/>
    <mergeCell ref="B65:C65"/>
    <mergeCell ref="B66:C66"/>
    <mergeCell ref="B67:C67"/>
    <mergeCell ref="B50:B55"/>
    <mergeCell ref="B56:B61"/>
    <mergeCell ref="A62:C62"/>
    <mergeCell ref="B78:C78"/>
    <mergeCell ref="B79:C79"/>
    <mergeCell ref="A68:A76"/>
    <mergeCell ref="B68:C68"/>
    <mergeCell ref="B69:C69"/>
    <mergeCell ref="B70:C70"/>
    <mergeCell ref="B71:C71"/>
    <mergeCell ref="B73:C73"/>
    <mergeCell ref="B74:C74"/>
    <mergeCell ref="B72:C72"/>
    <mergeCell ref="B75:C75"/>
    <mergeCell ref="B76:C76"/>
    <mergeCell ref="B86:C86"/>
    <mergeCell ref="D86:Z86"/>
    <mergeCell ref="B87:C87"/>
    <mergeCell ref="D87:Z87"/>
    <mergeCell ref="B88:C88"/>
    <mergeCell ref="D88:Z88"/>
    <mergeCell ref="B89:C89"/>
    <mergeCell ref="A98:C98"/>
    <mergeCell ref="D9:Z9"/>
    <mergeCell ref="A10:C10"/>
    <mergeCell ref="A12:C12"/>
    <mergeCell ref="A9:C9"/>
    <mergeCell ref="B77:C77"/>
    <mergeCell ref="B80:C80"/>
    <mergeCell ref="B83:C83"/>
    <mergeCell ref="B81:C81"/>
    <mergeCell ref="B82:C82"/>
    <mergeCell ref="B90:C90"/>
    <mergeCell ref="A97:C97"/>
    <mergeCell ref="A94:C94"/>
    <mergeCell ref="A11:C11"/>
    <mergeCell ref="A91:C91"/>
    <mergeCell ref="A48:C48"/>
    <mergeCell ref="A63:C63"/>
    <mergeCell ref="A104:C104"/>
    <mergeCell ref="A96:C96"/>
    <mergeCell ref="A95:C95"/>
    <mergeCell ref="A134:C134"/>
    <mergeCell ref="A121:C121"/>
    <mergeCell ref="A122:C122"/>
    <mergeCell ref="A123:C123"/>
    <mergeCell ref="A125:C125"/>
    <mergeCell ref="A128:G128"/>
    <mergeCell ref="A129:C129"/>
    <mergeCell ref="A130:C130"/>
    <mergeCell ref="A132:C132"/>
    <mergeCell ref="A133:C133"/>
    <mergeCell ref="A124:K124"/>
    <mergeCell ref="D134:L134"/>
    <mergeCell ref="D133:L133"/>
    <mergeCell ref="A131:C131"/>
    <mergeCell ref="A113:C113"/>
    <mergeCell ref="A114:C114"/>
    <mergeCell ref="A100:C100"/>
    <mergeCell ref="A102:C102"/>
    <mergeCell ref="A101:C101"/>
    <mergeCell ref="A49:C49"/>
    <mergeCell ref="D92:Z92"/>
    <mergeCell ref="D93:Z93"/>
    <mergeCell ref="A93:C93"/>
    <mergeCell ref="A84:A89"/>
    <mergeCell ref="B84:C84"/>
    <mergeCell ref="D84:Z84"/>
    <mergeCell ref="A120:C120"/>
    <mergeCell ref="A115:C115"/>
    <mergeCell ref="A111:C111"/>
    <mergeCell ref="A112:C112"/>
    <mergeCell ref="A110:K110"/>
    <mergeCell ref="A108:C108"/>
    <mergeCell ref="A92:C92"/>
    <mergeCell ref="A99:C99"/>
    <mergeCell ref="A109:C109"/>
    <mergeCell ref="A77:A83"/>
    <mergeCell ref="A116:C116"/>
    <mergeCell ref="A118:C118"/>
    <mergeCell ref="A119:G119"/>
    <mergeCell ref="A106:G106"/>
    <mergeCell ref="B85:C85"/>
    <mergeCell ref="D85:Z85"/>
    <mergeCell ref="A103:C103"/>
  </mergeCells>
  <phoneticPr fontId="35" type="noConversion"/>
  <conditionalFormatting sqref="D37:Z37">
    <cfRule type="expression" dxfId="0" priority="1">
      <formula>D37="écart sur ilot"</formula>
    </cfRule>
  </conditionalFormatting>
  <pageMargins left="0.7" right="0.7" top="0.75" bottom="0.75" header="0.3" footer="0.3"/>
  <pageSetup paperSize="9" orientation="portrait" r:id="rId1"/>
  <ignoredErrors>
    <ignoredError sqref="AA75" formula="1"/>
  </ignoredErrors>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100-000000000000}">
          <x14:formula1>
            <xm:f>données!$AO$2</xm:f>
          </x14:formula1>
          <xm:sqref>D77:Z77</xm:sqref>
        </x14:dataValidation>
        <x14:dataValidation type="list" allowBlank="1" showInputMessage="1" showErrorMessage="1" xr:uid="{00000000-0002-0000-0100-000001000000}">
          <x14:formula1>
            <xm:f>données!$A$2:$A$9</xm:f>
          </x14:formula1>
          <xm:sqref>D5:Z5</xm:sqref>
        </x14:dataValidation>
        <x14:dataValidation type="list" allowBlank="1" showInputMessage="1" showErrorMessage="1" xr:uid="{00000000-0002-0000-0100-000002000000}">
          <x14:formula1>
            <xm:f>données!$B$2:$B$6</xm:f>
          </x14:formula1>
          <xm:sqref>D6:Z6</xm:sqref>
        </x14:dataValidation>
        <x14:dataValidation type="list" allowBlank="1" showInputMessage="1" showErrorMessage="1" xr:uid="{00000000-0002-0000-0100-000003000000}">
          <x14:formula1>
            <xm:f>données!$F$2:$F$6</xm:f>
          </x14:formula1>
          <xm:sqref>D38:Z38</xm:sqref>
        </x14:dataValidation>
        <x14:dataValidation type="list" allowBlank="1" showInputMessage="1" showErrorMessage="1" xr:uid="{00000000-0002-0000-0100-000004000000}">
          <x14:formula1>
            <xm:f>données!$BC$6:$BC$7</xm:f>
          </x14:formula1>
          <xm:sqref>D62:Z62 D8:D9 D84:Z84</xm:sqref>
        </x14:dataValidation>
        <x14:dataValidation type="list" allowBlank="1" showInputMessage="1" showErrorMessage="1" xr:uid="{00000000-0002-0000-0100-000005000000}">
          <x14:formula1>
            <xm:f>données!$Y$2:$Y$3</xm:f>
          </x14:formula1>
          <xm:sqref>D48:Z48</xm:sqref>
        </x14:dataValidation>
        <x14:dataValidation type="list" allowBlank="1" showInputMessage="1" showErrorMessage="1" xr:uid="{00000000-0002-0000-0100-000006000000}">
          <x14:formula1>
            <xm:f>données!$G$2:$G$3</xm:f>
          </x14:formula1>
          <xm:sqref>D10:Z10</xm:sqref>
        </x14:dataValidation>
        <x14:dataValidation type="list" allowBlank="1" showErrorMessage="1" xr:uid="{00000000-0002-0000-0100-000007000000}">
          <x14:formula1>
            <xm:f>données!$D$2:$D$74</xm:f>
          </x14:formula1>
          <xm:sqref>B15:B36</xm:sqref>
        </x14:dataValidation>
        <x14:dataValidation type="list" allowBlank="1" showInputMessage="1" showErrorMessage="1" xr:uid="{00000000-0002-0000-0100-000008000000}">
          <x14:formula1>
            <xm:f>données!$C$2:$C$21</xm:f>
          </x14:formula1>
          <xm:sqref>D7:Z7</xm:sqref>
        </x14:dataValidation>
        <x14:dataValidation type="list" allowBlank="1" showInputMessage="1" showErrorMessage="1" xr:uid="{00000000-0002-0000-0100-000009000000}">
          <x14:formula1>
            <xm:f>données!$AN$2:$AN$4</xm:f>
          </x14:formula1>
          <xm:sqref>D68:Z68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D75"/>
  <sheetViews>
    <sheetView topLeftCell="E1" zoomScale="95" workbookViewId="0">
      <selection activeCell="N9" sqref="N9"/>
    </sheetView>
  </sheetViews>
  <sheetFormatPr baseColWidth="10" defaultRowHeight="14.5"/>
  <cols>
    <col min="4" max="4" width="35.54296875" bestFit="1" customWidth="1"/>
    <col min="5" max="5" width="13.1796875" bestFit="1" customWidth="1"/>
    <col min="6" max="6" width="17.1796875" bestFit="1" customWidth="1"/>
    <col min="12" max="12" width="12.81640625" bestFit="1" customWidth="1"/>
    <col min="18" max="21" width="10.81640625" customWidth="1"/>
    <col min="22" max="22" width="22.1796875" bestFit="1" customWidth="1"/>
    <col min="33" max="33" width="5.81640625" bestFit="1" customWidth="1"/>
    <col min="34" max="34" width="14.453125" bestFit="1" customWidth="1"/>
    <col min="36" max="36" width="11.453125" customWidth="1"/>
  </cols>
  <sheetData>
    <row r="1" spans="1:56">
      <c r="A1" t="s">
        <v>1</v>
      </c>
      <c r="B1" t="s">
        <v>2</v>
      </c>
      <c r="C1" t="s">
        <v>444</v>
      </c>
      <c r="D1" t="s">
        <v>58</v>
      </c>
      <c r="E1" t="s">
        <v>59</v>
      </c>
      <c r="F1" t="s">
        <v>169</v>
      </c>
      <c r="G1" t="s">
        <v>438</v>
      </c>
      <c r="I1" s="636" t="s">
        <v>266</v>
      </c>
      <c r="J1" s="636"/>
      <c r="K1" s="636"/>
      <c r="L1" s="636"/>
      <c r="M1" s="636"/>
      <c r="N1" s="215"/>
      <c r="O1" s="215"/>
      <c r="P1" s="636" t="s">
        <v>267</v>
      </c>
      <c r="Q1" s="636"/>
      <c r="R1" s="636"/>
      <c r="S1" s="636" t="s">
        <v>22</v>
      </c>
      <c r="T1" s="636"/>
      <c r="U1" s="636"/>
      <c r="V1" t="s">
        <v>282</v>
      </c>
      <c r="Y1" t="s">
        <v>338</v>
      </c>
      <c r="AA1" s="215"/>
      <c r="AB1" s="636" t="s">
        <v>267</v>
      </c>
      <c r="AC1" s="636"/>
      <c r="AD1" s="636"/>
      <c r="AE1" s="636" t="s">
        <v>22</v>
      </c>
      <c r="AF1" s="636"/>
      <c r="AG1" s="636"/>
      <c r="AH1" s="215" t="s">
        <v>374</v>
      </c>
      <c r="AI1" s="215"/>
      <c r="AJ1" t="s">
        <v>283</v>
      </c>
      <c r="AN1" t="s">
        <v>286</v>
      </c>
      <c r="AP1" s="221" t="s">
        <v>305</v>
      </c>
      <c r="AQ1" s="222"/>
      <c r="AR1" t="s">
        <v>307</v>
      </c>
      <c r="AT1" t="s">
        <v>306</v>
      </c>
      <c r="AV1" t="s">
        <v>307</v>
      </c>
      <c r="AX1" t="s">
        <v>306</v>
      </c>
      <c r="BA1" t="s">
        <v>289</v>
      </c>
      <c r="BB1" t="s">
        <v>293</v>
      </c>
      <c r="BC1" t="s">
        <v>294</v>
      </c>
      <c r="BD1" t="s">
        <v>295</v>
      </c>
    </row>
    <row r="2" spans="1:56">
      <c r="A2" t="s">
        <v>3</v>
      </c>
      <c r="B2">
        <v>1</v>
      </c>
      <c r="C2" s="19" t="s">
        <v>423</v>
      </c>
      <c r="D2" t="s">
        <v>60</v>
      </c>
      <c r="E2" t="s">
        <v>43</v>
      </c>
      <c r="F2" t="s">
        <v>19</v>
      </c>
      <c r="G2" t="s">
        <v>440</v>
      </c>
      <c r="I2" t="s">
        <v>246</v>
      </c>
      <c r="J2" t="s">
        <v>245</v>
      </c>
      <c r="K2" t="s">
        <v>247</v>
      </c>
      <c r="L2" s="62" t="s">
        <v>170</v>
      </c>
      <c r="M2" s="63" t="s">
        <v>157</v>
      </c>
      <c r="N2" s="216"/>
      <c r="P2" t="s">
        <v>246</v>
      </c>
      <c r="Q2" t="s">
        <v>245</v>
      </c>
      <c r="R2" t="s">
        <v>247</v>
      </c>
      <c r="S2" t="s">
        <v>246</v>
      </c>
      <c r="T2" t="s">
        <v>245</v>
      </c>
      <c r="U2" t="s">
        <v>247</v>
      </c>
      <c r="V2" s="62" t="s">
        <v>170</v>
      </c>
      <c r="W2" s="63" t="s">
        <v>157</v>
      </c>
      <c r="X2" s="216"/>
      <c r="Y2" s="243">
        <v>16</v>
      </c>
      <c r="AB2" t="s">
        <v>246</v>
      </c>
      <c r="AC2" t="s">
        <v>245</v>
      </c>
      <c r="AD2" t="s">
        <v>247</v>
      </c>
      <c r="AE2" t="s">
        <v>246</v>
      </c>
      <c r="AF2" t="s">
        <v>245</v>
      </c>
      <c r="AG2" t="s">
        <v>247</v>
      </c>
      <c r="AH2" t="s">
        <v>375</v>
      </c>
      <c r="AI2">
        <v>1.05</v>
      </c>
      <c r="AJ2" s="62" t="s">
        <v>170</v>
      </c>
      <c r="AK2" s="63" t="s">
        <v>157</v>
      </c>
      <c r="AN2" t="s">
        <v>51</v>
      </c>
      <c r="AO2" t="s">
        <v>49</v>
      </c>
      <c r="AP2" s="223" t="s">
        <v>287</v>
      </c>
      <c r="AQ2" s="224" t="s">
        <v>157</v>
      </c>
      <c r="AR2" s="223" t="s">
        <v>287</v>
      </c>
      <c r="AS2" s="224" t="s">
        <v>157</v>
      </c>
      <c r="AT2" s="223" t="s">
        <v>287</v>
      </c>
      <c r="AU2" s="224" t="s">
        <v>157</v>
      </c>
      <c r="AV2" s="223" t="s">
        <v>287</v>
      </c>
      <c r="AW2" s="224" t="s">
        <v>157</v>
      </c>
      <c r="AX2" s="223" t="s">
        <v>287</v>
      </c>
      <c r="AY2" s="224" t="s">
        <v>157</v>
      </c>
      <c r="BA2" t="s">
        <v>290</v>
      </c>
      <c r="BB2">
        <v>50</v>
      </c>
      <c r="BC2">
        <v>15</v>
      </c>
      <c r="BD2">
        <v>15</v>
      </c>
    </row>
    <row r="3" spans="1:56">
      <c r="A3" t="s">
        <v>4</v>
      </c>
      <c r="B3" s="19" t="s">
        <v>280</v>
      </c>
      <c r="C3" s="19" t="s">
        <v>425</v>
      </c>
      <c r="D3" t="s">
        <v>61</v>
      </c>
      <c r="E3" t="s">
        <v>43</v>
      </c>
      <c r="F3" t="s">
        <v>20</v>
      </c>
      <c r="G3" t="s">
        <v>439</v>
      </c>
      <c r="H3" t="s">
        <v>231</v>
      </c>
      <c r="I3">
        <v>2131</v>
      </c>
      <c r="J3">
        <v>1911</v>
      </c>
      <c r="K3">
        <v>1801</v>
      </c>
      <c r="L3" s="64" t="s">
        <v>171</v>
      </c>
      <c r="M3" s="65">
        <f>I3</f>
        <v>2131</v>
      </c>
      <c r="N3" s="217"/>
      <c r="O3" s="217" t="s">
        <v>35</v>
      </c>
      <c r="P3" s="217">
        <v>48</v>
      </c>
      <c r="Q3" s="217">
        <v>46</v>
      </c>
      <c r="R3">
        <v>44</v>
      </c>
      <c r="S3">
        <v>51</v>
      </c>
      <c r="T3">
        <v>49</v>
      </c>
      <c r="U3">
        <v>47</v>
      </c>
      <c r="V3" s="64" t="s">
        <v>395</v>
      </c>
      <c r="W3" s="218">
        <f>P3</f>
        <v>48</v>
      </c>
      <c r="X3" s="218"/>
      <c r="Y3" s="218">
        <v>9</v>
      </c>
      <c r="AA3" s="217" t="s">
        <v>35</v>
      </c>
      <c r="AB3" s="217">
        <v>27</v>
      </c>
      <c r="AC3" s="217">
        <v>26</v>
      </c>
      <c r="AD3">
        <v>25</v>
      </c>
      <c r="AE3">
        <v>29</v>
      </c>
      <c r="AF3">
        <v>28</v>
      </c>
      <c r="AG3">
        <v>27</v>
      </c>
      <c r="AH3" t="s">
        <v>376</v>
      </c>
      <c r="AI3">
        <v>1.05</v>
      </c>
      <c r="AJ3" s="64" t="s">
        <v>395</v>
      </c>
      <c r="AK3" s="220">
        <v>27</v>
      </c>
      <c r="AN3" t="s">
        <v>53</v>
      </c>
      <c r="AP3" s="240" t="s">
        <v>308</v>
      </c>
      <c r="AQ3" s="242">
        <v>447</v>
      </c>
      <c r="AR3" t="s">
        <v>371</v>
      </c>
      <c r="AS3">
        <v>5.5</v>
      </c>
      <c r="AT3" t="s">
        <v>371</v>
      </c>
      <c r="AU3">
        <v>3.1</v>
      </c>
      <c r="AV3" t="s">
        <v>371</v>
      </c>
      <c r="AW3">
        <v>5.5</v>
      </c>
      <c r="AX3" t="s">
        <v>371</v>
      </c>
      <c r="AY3">
        <v>3.1</v>
      </c>
      <c r="BA3" t="s">
        <v>291</v>
      </c>
      <c r="BB3">
        <v>37.5</v>
      </c>
      <c r="BC3">
        <v>11.25</v>
      </c>
      <c r="BD3">
        <v>11.25</v>
      </c>
    </row>
    <row r="4" spans="1:56">
      <c r="A4" t="s">
        <v>5</v>
      </c>
      <c r="B4" s="19" t="s">
        <v>281</v>
      </c>
      <c r="C4" s="19" t="s">
        <v>426</v>
      </c>
      <c r="D4" t="s">
        <v>62</v>
      </c>
      <c r="E4" t="s">
        <v>43</v>
      </c>
      <c r="F4" t="s">
        <v>21</v>
      </c>
      <c r="H4" t="s">
        <v>238</v>
      </c>
      <c r="I4">
        <v>4690</v>
      </c>
      <c r="J4">
        <v>4493</v>
      </c>
      <c r="K4">
        <v>4316</v>
      </c>
      <c r="L4" s="64" t="s">
        <v>407</v>
      </c>
      <c r="M4" s="65">
        <f t="shared" ref="M4:M8" si="0">I4</f>
        <v>4690</v>
      </c>
      <c r="N4" s="217"/>
      <c r="O4" s="217" t="s">
        <v>37</v>
      </c>
      <c r="P4" s="217">
        <v>51</v>
      </c>
      <c r="Q4" s="217">
        <v>49</v>
      </c>
      <c r="R4">
        <v>47</v>
      </c>
      <c r="S4">
        <v>54</v>
      </c>
      <c r="T4">
        <v>52</v>
      </c>
      <c r="U4">
        <v>50</v>
      </c>
      <c r="V4" s="64" t="s">
        <v>396</v>
      </c>
      <c r="W4" s="218">
        <f t="shared" ref="W4:W8" si="1">P4</f>
        <v>51</v>
      </c>
      <c r="X4" s="218"/>
      <c r="Y4" s="218"/>
      <c r="AA4" s="217" t="s">
        <v>37</v>
      </c>
      <c r="AB4" s="217">
        <v>28</v>
      </c>
      <c r="AC4" s="217">
        <v>27</v>
      </c>
      <c r="AD4">
        <v>26</v>
      </c>
      <c r="AE4">
        <v>30</v>
      </c>
      <c r="AF4">
        <v>29</v>
      </c>
      <c r="AG4">
        <v>28</v>
      </c>
      <c r="AH4" t="s">
        <v>377</v>
      </c>
      <c r="AI4">
        <v>1.05</v>
      </c>
      <c r="AJ4" s="64" t="s">
        <v>396</v>
      </c>
      <c r="AK4" s="220">
        <v>28</v>
      </c>
      <c r="AN4" t="s">
        <v>54</v>
      </c>
      <c r="AP4" s="240" t="s">
        <v>337</v>
      </c>
      <c r="AQ4" s="242">
        <v>426</v>
      </c>
      <c r="AR4" t="s">
        <v>355</v>
      </c>
      <c r="AS4">
        <v>5.2</v>
      </c>
      <c r="AT4" t="s">
        <v>355</v>
      </c>
      <c r="AU4">
        <v>3</v>
      </c>
      <c r="AV4" t="s">
        <v>369</v>
      </c>
      <c r="AW4">
        <v>5.2</v>
      </c>
      <c r="AX4" t="s">
        <v>369</v>
      </c>
      <c r="AY4">
        <v>3</v>
      </c>
      <c r="BA4" t="s">
        <v>292</v>
      </c>
      <c r="BB4">
        <v>37.5</v>
      </c>
      <c r="BC4">
        <v>11.25</v>
      </c>
      <c r="BD4">
        <v>11.25</v>
      </c>
    </row>
    <row r="5" spans="1:56">
      <c r="A5" t="s">
        <v>6</v>
      </c>
      <c r="B5">
        <v>3</v>
      </c>
      <c r="C5" s="19" t="s">
        <v>427</v>
      </c>
      <c r="D5" t="s">
        <v>63</v>
      </c>
      <c r="E5" t="s">
        <v>43</v>
      </c>
      <c r="F5" t="s">
        <v>22</v>
      </c>
      <c r="H5" t="s">
        <v>233</v>
      </c>
      <c r="I5">
        <v>4890</v>
      </c>
      <c r="J5">
        <v>4693</v>
      </c>
      <c r="K5">
        <v>4516</v>
      </c>
      <c r="L5" s="64" t="s">
        <v>172</v>
      </c>
      <c r="M5" s="65">
        <f t="shared" si="0"/>
        <v>4890</v>
      </c>
      <c r="N5" s="217"/>
      <c r="O5" s="217" t="s">
        <v>39</v>
      </c>
      <c r="P5" s="217">
        <v>58</v>
      </c>
      <c r="Q5" s="217">
        <v>56</v>
      </c>
      <c r="R5">
        <v>54</v>
      </c>
      <c r="S5">
        <v>62</v>
      </c>
      <c r="T5">
        <v>60</v>
      </c>
      <c r="U5">
        <v>58</v>
      </c>
      <c r="V5" s="64" t="s">
        <v>397</v>
      </c>
      <c r="W5" s="218">
        <f t="shared" si="1"/>
        <v>58</v>
      </c>
      <c r="X5" s="218"/>
      <c r="Y5" s="218"/>
      <c r="AA5" s="217" t="s">
        <v>39</v>
      </c>
      <c r="AB5" s="217">
        <v>33</v>
      </c>
      <c r="AC5" s="217">
        <v>32</v>
      </c>
      <c r="AD5">
        <v>31</v>
      </c>
      <c r="AE5">
        <v>35</v>
      </c>
      <c r="AF5">
        <v>34</v>
      </c>
      <c r="AG5">
        <v>33</v>
      </c>
      <c r="AH5" t="s">
        <v>378</v>
      </c>
      <c r="AI5">
        <v>1.1399999999999999</v>
      </c>
      <c r="AJ5" s="64" t="s">
        <v>397</v>
      </c>
      <c r="AK5" s="220">
        <v>33</v>
      </c>
      <c r="AP5" s="240" t="s">
        <v>336</v>
      </c>
      <c r="AQ5" s="242">
        <v>406</v>
      </c>
      <c r="AR5" t="s">
        <v>359</v>
      </c>
      <c r="AS5">
        <v>5</v>
      </c>
      <c r="AT5" t="s">
        <v>359</v>
      </c>
      <c r="AU5">
        <v>2.8</v>
      </c>
      <c r="AV5" t="s">
        <v>359</v>
      </c>
      <c r="AW5">
        <v>5</v>
      </c>
      <c r="AX5" t="s">
        <v>359</v>
      </c>
      <c r="AY5">
        <v>2.8</v>
      </c>
    </row>
    <row r="6" spans="1:56">
      <c r="A6" t="s">
        <v>7</v>
      </c>
      <c r="B6">
        <v>4</v>
      </c>
      <c r="C6" s="19" t="s">
        <v>428</v>
      </c>
      <c r="D6" t="s">
        <v>64</v>
      </c>
      <c r="E6" t="s">
        <v>43</v>
      </c>
      <c r="F6" t="s">
        <v>23</v>
      </c>
      <c r="H6" t="s">
        <v>235</v>
      </c>
      <c r="I6">
        <v>5512</v>
      </c>
      <c r="J6">
        <v>5315</v>
      </c>
      <c r="K6">
        <v>5138</v>
      </c>
      <c r="L6" s="64" t="s">
        <v>173</v>
      </c>
      <c r="M6" s="65">
        <f t="shared" si="0"/>
        <v>5512</v>
      </c>
      <c r="N6" s="217"/>
      <c r="O6" s="217" t="s">
        <v>41</v>
      </c>
      <c r="P6" s="217">
        <v>48</v>
      </c>
      <c r="Q6" s="217">
        <v>46</v>
      </c>
      <c r="R6">
        <v>44</v>
      </c>
      <c r="S6">
        <v>51</v>
      </c>
      <c r="T6">
        <v>49</v>
      </c>
      <c r="U6">
        <v>47</v>
      </c>
      <c r="V6" s="64" t="s">
        <v>398</v>
      </c>
      <c r="W6" s="218">
        <f t="shared" si="1"/>
        <v>48</v>
      </c>
      <c r="X6" s="218"/>
      <c r="Y6" s="218"/>
      <c r="AA6" s="217" t="s">
        <v>41</v>
      </c>
      <c r="AB6" s="217">
        <v>27</v>
      </c>
      <c r="AC6" s="217">
        <v>26</v>
      </c>
      <c r="AD6">
        <v>25</v>
      </c>
      <c r="AE6">
        <v>29</v>
      </c>
      <c r="AF6">
        <v>28</v>
      </c>
      <c r="AG6">
        <v>27</v>
      </c>
      <c r="AH6" t="s">
        <v>379</v>
      </c>
      <c r="AI6">
        <v>1</v>
      </c>
      <c r="AJ6" s="64" t="s">
        <v>398</v>
      </c>
      <c r="AK6" s="220">
        <v>27</v>
      </c>
      <c r="AP6" s="240" t="s">
        <v>335</v>
      </c>
      <c r="AQ6" s="242">
        <v>447</v>
      </c>
      <c r="AR6" t="s">
        <v>412</v>
      </c>
      <c r="AS6">
        <v>5.6</v>
      </c>
      <c r="AT6" t="s">
        <v>412</v>
      </c>
      <c r="AU6">
        <v>3.3</v>
      </c>
      <c r="AV6" t="s">
        <v>372</v>
      </c>
      <c r="AW6">
        <v>5.5</v>
      </c>
      <c r="AX6" t="s">
        <v>372</v>
      </c>
      <c r="AY6">
        <v>3.1</v>
      </c>
      <c r="BC6" t="s">
        <v>296</v>
      </c>
    </row>
    <row r="7" spans="1:56">
      <c r="A7" t="s">
        <v>8</v>
      </c>
      <c r="C7" s="19" t="s">
        <v>429</v>
      </c>
      <c r="D7" t="s">
        <v>65</v>
      </c>
      <c r="E7" t="s">
        <v>43</v>
      </c>
      <c r="H7" t="s">
        <v>236</v>
      </c>
      <c r="I7">
        <v>4697</v>
      </c>
      <c r="J7">
        <v>4500</v>
      </c>
      <c r="K7">
        <v>4302</v>
      </c>
      <c r="L7" s="64" t="s">
        <v>174</v>
      </c>
      <c r="M7" s="65">
        <f t="shared" si="0"/>
        <v>4697</v>
      </c>
      <c r="N7" s="217"/>
      <c r="O7" s="217" t="s">
        <v>43</v>
      </c>
      <c r="P7" s="217">
        <v>55</v>
      </c>
      <c r="Q7" s="217">
        <v>53</v>
      </c>
      <c r="R7">
        <v>51</v>
      </c>
      <c r="S7">
        <v>59</v>
      </c>
      <c r="T7">
        <v>57</v>
      </c>
      <c r="U7">
        <v>55</v>
      </c>
      <c r="V7" s="64" t="s">
        <v>399</v>
      </c>
      <c r="W7" s="218">
        <f t="shared" si="1"/>
        <v>55</v>
      </c>
      <c r="X7" s="218"/>
      <c r="Y7" s="218"/>
      <c r="AA7" s="217" t="s">
        <v>43</v>
      </c>
      <c r="AB7" s="217">
        <v>31</v>
      </c>
      <c r="AC7" s="217">
        <v>30</v>
      </c>
      <c r="AD7">
        <v>29</v>
      </c>
      <c r="AE7">
        <v>33</v>
      </c>
      <c r="AF7">
        <v>32</v>
      </c>
      <c r="AG7">
        <v>31</v>
      </c>
      <c r="AH7" t="s">
        <v>380</v>
      </c>
      <c r="AI7">
        <v>1</v>
      </c>
      <c r="AJ7" s="64" t="s">
        <v>399</v>
      </c>
      <c r="AK7" s="220">
        <v>31</v>
      </c>
      <c r="AP7" s="240" t="s">
        <v>334</v>
      </c>
      <c r="AQ7" s="242">
        <v>426</v>
      </c>
      <c r="AR7" t="s">
        <v>339</v>
      </c>
      <c r="AS7">
        <v>5.2</v>
      </c>
      <c r="AT7" t="s">
        <v>339</v>
      </c>
      <c r="AU7">
        <v>3.1</v>
      </c>
      <c r="AV7" t="s">
        <v>358</v>
      </c>
      <c r="AW7">
        <v>5.2</v>
      </c>
      <c r="AX7" t="s">
        <v>358</v>
      </c>
      <c r="AY7">
        <v>3</v>
      </c>
      <c r="BC7" t="s">
        <v>297</v>
      </c>
    </row>
    <row r="8" spans="1:56">
      <c r="A8" t="s">
        <v>9</v>
      </c>
      <c r="C8" s="19" t="s">
        <v>430</v>
      </c>
      <c r="D8" t="s">
        <v>66</v>
      </c>
      <c r="E8" t="s">
        <v>39</v>
      </c>
      <c r="H8" t="s">
        <v>237</v>
      </c>
      <c r="I8">
        <v>5265</v>
      </c>
      <c r="J8">
        <v>5068</v>
      </c>
      <c r="K8">
        <v>4870</v>
      </c>
      <c r="L8" s="64" t="s">
        <v>175</v>
      </c>
      <c r="M8" s="65">
        <f t="shared" si="0"/>
        <v>5265</v>
      </c>
      <c r="N8" s="217"/>
      <c r="O8" s="217" t="s">
        <v>45</v>
      </c>
      <c r="P8" s="217">
        <v>63</v>
      </c>
      <c r="Q8" s="217">
        <v>61</v>
      </c>
      <c r="R8">
        <v>59</v>
      </c>
      <c r="S8">
        <v>67</v>
      </c>
      <c r="T8">
        <v>64</v>
      </c>
      <c r="U8">
        <v>62</v>
      </c>
      <c r="V8" s="64" t="s">
        <v>400</v>
      </c>
      <c r="W8" s="218">
        <f t="shared" si="1"/>
        <v>63</v>
      </c>
      <c r="X8" s="218"/>
      <c r="Y8" s="218"/>
      <c r="AA8" s="217" t="s">
        <v>45</v>
      </c>
      <c r="AB8" s="217">
        <v>35</v>
      </c>
      <c r="AC8" s="217">
        <v>34</v>
      </c>
      <c r="AD8">
        <v>33</v>
      </c>
      <c r="AE8">
        <v>37</v>
      </c>
      <c r="AF8">
        <v>36</v>
      </c>
      <c r="AG8">
        <v>35</v>
      </c>
      <c r="AH8" t="s">
        <v>382</v>
      </c>
      <c r="AI8">
        <v>1</v>
      </c>
      <c r="AJ8" s="64" t="s">
        <v>400</v>
      </c>
      <c r="AK8" s="220">
        <v>35</v>
      </c>
      <c r="AP8" s="240" t="s">
        <v>333</v>
      </c>
      <c r="AQ8" s="242">
        <v>406</v>
      </c>
      <c r="AR8" t="s">
        <v>340</v>
      </c>
      <c r="AS8">
        <v>5</v>
      </c>
      <c r="AT8" t="s">
        <v>340</v>
      </c>
      <c r="AU8">
        <v>3</v>
      </c>
      <c r="AV8" t="s">
        <v>357</v>
      </c>
      <c r="AW8">
        <v>5</v>
      </c>
      <c r="AX8" t="s">
        <v>357</v>
      </c>
      <c r="AY8">
        <v>2.8</v>
      </c>
    </row>
    <row r="9" spans="1:56">
      <c r="A9" t="s">
        <v>10</v>
      </c>
      <c r="C9" s="19" t="s">
        <v>431</v>
      </c>
      <c r="D9" t="s">
        <v>67</v>
      </c>
      <c r="E9" t="s">
        <v>39</v>
      </c>
      <c r="H9" t="s">
        <v>238</v>
      </c>
      <c r="I9">
        <v>5845</v>
      </c>
      <c r="J9">
        <v>5648</v>
      </c>
      <c r="K9">
        <v>5450</v>
      </c>
      <c r="L9" s="64" t="s">
        <v>176</v>
      </c>
      <c r="M9" s="65">
        <f>I9</f>
        <v>5845</v>
      </c>
      <c r="N9" s="217"/>
      <c r="O9" s="217" t="s">
        <v>257</v>
      </c>
      <c r="P9" s="217">
        <v>1.05</v>
      </c>
      <c r="Q9" s="217">
        <v>1</v>
      </c>
      <c r="R9">
        <v>0.95</v>
      </c>
      <c r="S9">
        <v>1.1399999999999999</v>
      </c>
      <c r="T9">
        <v>1.0900000000000001</v>
      </c>
      <c r="U9">
        <v>1.04</v>
      </c>
      <c r="V9" s="64" t="s">
        <v>402</v>
      </c>
      <c r="W9" s="218">
        <v>48</v>
      </c>
      <c r="X9" s="218"/>
      <c r="Y9" s="218"/>
      <c r="AA9" s="217" t="s">
        <v>257</v>
      </c>
      <c r="AB9">
        <v>1.05</v>
      </c>
      <c r="AC9">
        <v>1</v>
      </c>
      <c r="AD9">
        <v>0.95</v>
      </c>
      <c r="AE9">
        <v>1.1399999999999999</v>
      </c>
      <c r="AF9">
        <v>1.0900000000000001</v>
      </c>
      <c r="AG9">
        <v>1.04</v>
      </c>
      <c r="AH9" t="s">
        <v>381</v>
      </c>
      <c r="AI9">
        <v>1.0900000000000001</v>
      </c>
      <c r="AJ9" s="64" t="s">
        <v>402</v>
      </c>
      <c r="AK9" s="220">
        <v>27</v>
      </c>
      <c r="AP9" s="221" t="s">
        <v>310</v>
      </c>
      <c r="AQ9" s="242">
        <v>478</v>
      </c>
      <c r="AR9" t="s">
        <v>341</v>
      </c>
      <c r="AS9">
        <v>34.5</v>
      </c>
      <c r="AT9" t="s">
        <v>341</v>
      </c>
      <c r="AU9">
        <v>19.3</v>
      </c>
      <c r="AV9" t="s">
        <v>308</v>
      </c>
      <c r="AW9">
        <v>5.5</v>
      </c>
      <c r="AX9" t="s">
        <v>308</v>
      </c>
      <c r="AY9">
        <v>3.1</v>
      </c>
    </row>
    <row r="10" spans="1:56">
      <c r="C10" s="19" t="s">
        <v>432</v>
      </c>
      <c r="D10" t="s">
        <v>68</v>
      </c>
      <c r="E10" t="s">
        <v>43</v>
      </c>
      <c r="H10" t="s">
        <v>232</v>
      </c>
      <c r="I10">
        <v>3341</v>
      </c>
      <c r="J10">
        <v>3121</v>
      </c>
      <c r="K10">
        <v>3011</v>
      </c>
      <c r="L10" s="64" t="s">
        <v>177</v>
      </c>
      <c r="M10" s="65">
        <f>I17</f>
        <v>4824</v>
      </c>
      <c r="N10" s="217"/>
      <c r="P10" s="217"/>
      <c r="Q10" s="217"/>
      <c r="V10" s="64" t="s">
        <v>403</v>
      </c>
      <c r="W10" s="218">
        <v>51</v>
      </c>
      <c r="X10" s="218"/>
      <c r="Y10" s="218"/>
      <c r="AB10" s="217"/>
      <c r="AC10" s="217"/>
      <c r="AH10" t="s">
        <v>411</v>
      </c>
      <c r="AI10">
        <v>0.95</v>
      </c>
      <c r="AJ10" s="64" t="s">
        <v>403</v>
      </c>
      <c r="AK10" s="220">
        <v>28</v>
      </c>
      <c r="AO10" t="str">
        <f>CONCATENATE('Demande d''aide'!D38,'Demande d''aide'!D68,'Demande d''aide'!D70)</f>
        <v>A</v>
      </c>
      <c r="AP10" s="221" t="s">
        <v>309</v>
      </c>
      <c r="AQ10" s="242">
        <v>447</v>
      </c>
      <c r="AR10" t="s">
        <v>342</v>
      </c>
      <c r="AS10">
        <v>32.799999999999997</v>
      </c>
      <c r="AT10" t="s">
        <v>342</v>
      </c>
      <c r="AU10">
        <v>18.399999999999999</v>
      </c>
      <c r="AV10" t="s">
        <v>337</v>
      </c>
      <c r="AW10">
        <v>5.2</v>
      </c>
      <c r="AX10" t="s">
        <v>337</v>
      </c>
      <c r="AY10">
        <v>3</v>
      </c>
    </row>
    <row r="11" spans="1:56">
      <c r="C11" s="19" t="s">
        <v>433</v>
      </c>
      <c r="D11" t="s">
        <v>69</v>
      </c>
      <c r="E11" t="s">
        <v>45</v>
      </c>
      <c r="H11" t="s">
        <v>239</v>
      </c>
      <c r="I11">
        <v>5014</v>
      </c>
      <c r="J11">
        <v>4817</v>
      </c>
      <c r="K11">
        <v>4640</v>
      </c>
      <c r="L11" s="64" t="s">
        <v>178</v>
      </c>
      <c r="M11" s="65">
        <f>I10</f>
        <v>3341</v>
      </c>
      <c r="N11" s="217"/>
      <c r="P11" s="217"/>
      <c r="Q11" s="217"/>
      <c r="V11" s="64" t="s">
        <v>404</v>
      </c>
      <c r="W11" s="218">
        <v>58</v>
      </c>
      <c r="X11" s="218"/>
      <c r="Y11" s="218"/>
      <c r="AB11" s="217"/>
      <c r="AC11" s="217"/>
      <c r="AH11" t="s">
        <v>410</v>
      </c>
      <c r="AI11">
        <v>0.95</v>
      </c>
      <c r="AJ11" s="64" t="s">
        <v>404</v>
      </c>
      <c r="AK11" s="220">
        <v>33</v>
      </c>
      <c r="AP11" s="221" t="s">
        <v>311</v>
      </c>
      <c r="AQ11" s="242">
        <v>426</v>
      </c>
      <c r="AR11" t="s">
        <v>343</v>
      </c>
      <c r="AS11">
        <v>31.1</v>
      </c>
      <c r="AT11" t="s">
        <v>343</v>
      </c>
      <c r="AU11">
        <v>17.399999999999999</v>
      </c>
      <c r="AV11" t="s">
        <v>336</v>
      </c>
      <c r="AW11">
        <v>5</v>
      </c>
      <c r="AX11" t="s">
        <v>336</v>
      </c>
      <c r="AY11">
        <v>2.8</v>
      </c>
    </row>
    <row r="12" spans="1:56">
      <c r="C12" s="19" t="s">
        <v>434</v>
      </c>
      <c r="D12" t="s">
        <v>70</v>
      </c>
      <c r="E12" t="s">
        <v>43</v>
      </c>
      <c r="H12" t="s">
        <v>240</v>
      </c>
      <c r="I12">
        <v>5214</v>
      </c>
      <c r="J12">
        <v>5017</v>
      </c>
      <c r="K12">
        <v>4840</v>
      </c>
      <c r="L12" s="64" t="s">
        <v>179</v>
      </c>
      <c r="M12" s="65">
        <f>I11</f>
        <v>5014</v>
      </c>
      <c r="N12" s="217"/>
      <c r="O12" s="217"/>
      <c r="P12" s="217"/>
      <c r="Q12" s="217"/>
      <c r="V12" s="64" t="s">
        <v>405</v>
      </c>
      <c r="W12" s="218">
        <v>48</v>
      </c>
      <c r="X12" s="218"/>
      <c r="Y12" s="218"/>
      <c r="AB12" s="217"/>
      <c r="AC12" s="217"/>
      <c r="AH12" t="s">
        <v>409</v>
      </c>
      <c r="AI12">
        <v>0.95</v>
      </c>
      <c r="AJ12" s="64" t="s">
        <v>405</v>
      </c>
      <c r="AK12" s="220">
        <v>27</v>
      </c>
      <c r="AP12" s="221" t="s">
        <v>312</v>
      </c>
      <c r="AQ12" s="242">
        <v>478</v>
      </c>
      <c r="AR12" s="241" t="s">
        <v>344</v>
      </c>
      <c r="AS12">
        <v>4025</v>
      </c>
      <c r="AT12" s="241" t="s">
        <v>344</v>
      </c>
      <c r="AU12">
        <v>4025</v>
      </c>
      <c r="AV12" t="s">
        <v>335</v>
      </c>
      <c r="AW12">
        <v>5.5</v>
      </c>
      <c r="AX12" t="s">
        <v>335</v>
      </c>
      <c r="AY12">
        <v>3.1</v>
      </c>
    </row>
    <row r="13" spans="1:56">
      <c r="C13" s="19" t="s">
        <v>445</v>
      </c>
      <c r="D13" t="s">
        <v>71</v>
      </c>
      <c r="E13" t="s">
        <v>43</v>
      </c>
      <c r="H13" t="s">
        <v>234</v>
      </c>
      <c r="I13">
        <v>5836</v>
      </c>
      <c r="J13">
        <v>5639</v>
      </c>
      <c r="K13">
        <v>5462</v>
      </c>
      <c r="L13" s="64" t="s">
        <v>180</v>
      </c>
      <c r="M13" s="65">
        <f t="shared" ref="M13:M17" si="2">I12</f>
        <v>5214</v>
      </c>
      <c r="N13" s="217"/>
      <c r="O13" s="217"/>
      <c r="P13" s="217"/>
      <c r="Q13" s="217"/>
      <c r="V13" s="64" t="s">
        <v>401</v>
      </c>
      <c r="W13" s="218">
        <v>55</v>
      </c>
      <c r="X13" s="218"/>
      <c r="Y13" s="218"/>
      <c r="AA13" s="217"/>
      <c r="AB13" s="217"/>
      <c r="AC13" s="217"/>
      <c r="AH13" t="s">
        <v>408</v>
      </c>
      <c r="AI13">
        <v>1.04</v>
      </c>
      <c r="AJ13" s="64" t="s">
        <v>401</v>
      </c>
      <c r="AK13" s="220">
        <v>31</v>
      </c>
      <c r="AP13" s="221" t="s">
        <v>313</v>
      </c>
      <c r="AQ13" s="242">
        <v>447</v>
      </c>
      <c r="AR13" s="241" t="s">
        <v>345</v>
      </c>
      <c r="AS13">
        <v>2818</v>
      </c>
      <c r="AT13" s="241" t="s">
        <v>345</v>
      </c>
      <c r="AU13">
        <v>2818</v>
      </c>
      <c r="AV13" t="s">
        <v>334</v>
      </c>
      <c r="AW13">
        <v>5.2</v>
      </c>
      <c r="AX13" t="s">
        <v>334</v>
      </c>
      <c r="AY13">
        <v>3</v>
      </c>
    </row>
    <row r="14" spans="1:56">
      <c r="C14" s="19" t="s">
        <v>446</v>
      </c>
      <c r="D14" t="s">
        <v>72</v>
      </c>
      <c r="E14" t="s">
        <v>45</v>
      </c>
      <c r="H14" t="s">
        <v>241</v>
      </c>
      <c r="I14">
        <v>5021</v>
      </c>
      <c r="J14">
        <v>4824</v>
      </c>
      <c r="K14">
        <v>4626</v>
      </c>
      <c r="L14" s="64" t="s">
        <v>181</v>
      </c>
      <c r="M14" s="65">
        <f t="shared" si="2"/>
        <v>5836</v>
      </c>
      <c r="N14" s="217"/>
      <c r="O14" s="217"/>
      <c r="P14" s="217"/>
      <c r="Q14" s="217"/>
      <c r="V14" s="64" t="s">
        <v>406</v>
      </c>
      <c r="W14" s="218">
        <v>63</v>
      </c>
      <c r="X14" s="218"/>
      <c r="Y14" s="218"/>
      <c r="AA14" s="217"/>
      <c r="AB14" s="217"/>
      <c r="AC14" s="217"/>
      <c r="AJ14" s="64" t="s">
        <v>406</v>
      </c>
      <c r="AK14" s="220">
        <v>35</v>
      </c>
      <c r="AP14" s="221" t="s">
        <v>314</v>
      </c>
      <c r="AQ14" s="242">
        <v>426</v>
      </c>
      <c r="AR14" s="241" t="s">
        <v>346</v>
      </c>
      <c r="AS14">
        <v>1863</v>
      </c>
      <c r="AT14" s="241" t="s">
        <v>346</v>
      </c>
      <c r="AU14">
        <v>1863</v>
      </c>
      <c r="AV14" t="s">
        <v>361</v>
      </c>
      <c r="AW14">
        <v>5</v>
      </c>
      <c r="AX14" t="s">
        <v>361</v>
      </c>
      <c r="AY14">
        <v>2.8</v>
      </c>
    </row>
    <row r="15" spans="1:56">
      <c r="C15" s="19" t="s">
        <v>447</v>
      </c>
      <c r="D15" t="s">
        <v>73</v>
      </c>
      <c r="E15" t="s">
        <v>45</v>
      </c>
      <c r="H15" t="s">
        <v>242</v>
      </c>
      <c r="I15">
        <v>5589</v>
      </c>
      <c r="J15">
        <v>5392</v>
      </c>
      <c r="K15">
        <v>5194</v>
      </c>
      <c r="L15" s="64" t="s">
        <v>182</v>
      </c>
      <c r="M15" s="65">
        <f t="shared" si="2"/>
        <v>5021</v>
      </c>
      <c r="N15" s="217"/>
      <c r="O15" s="217"/>
      <c r="P15" s="217"/>
      <c r="Q15" s="217"/>
      <c r="V15" s="64" t="s">
        <v>407</v>
      </c>
      <c r="W15" s="218">
        <f>Q6</f>
        <v>46</v>
      </c>
      <c r="X15" s="218"/>
      <c r="Y15" s="218"/>
      <c r="AA15" s="217"/>
      <c r="AB15" s="217"/>
      <c r="AC15" s="217"/>
      <c r="AJ15" s="64" t="s">
        <v>407</v>
      </c>
      <c r="AK15" s="220">
        <v>27</v>
      </c>
      <c r="AP15" s="221" t="s">
        <v>315</v>
      </c>
      <c r="AQ15" s="242">
        <v>2760</v>
      </c>
      <c r="AR15" t="s">
        <v>372</v>
      </c>
      <c r="AS15">
        <v>5.5</v>
      </c>
      <c r="AT15" t="s">
        <v>372</v>
      </c>
      <c r="AU15">
        <v>3.1</v>
      </c>
    </row>
    <row r="16" spans="1:56">
      <c r="C16" s="19" t="s">
        <v>448</v>
      </c>
      <c r="D16" t="s">
        <v>74</v>
      </c>
      <c r="E16" t="s">
        <v>43</v>
      </c>
      <c r="H16" t="s">
        <v>243</v>
      </c>
      <c r="I16">
        <v>6169</v>
      </c>
      <c r="J16">
        <v>5972</v>
      </c>
      <c r="K16">
        <v>5774</v>
      </c>
      <c r="L16" s="64" t="s">
        <v>183</v>
      </c>
      <c r="M16" s="65">
        <f t="shared" si="2"/>
        <v>5589</v>
      </c>
      <c r="N16" s="217"/>
      <c r="O16" s="217"/>
      <c r="P16" s="217"/>
      <c r="Q16" s="217"/>
      <c r="V16" s="64" t="s">
        <v>172</v>
      </c>
      <c r="W16" s="218">
        <f>Q7</f>
        <v>53</v>
      </c>
      <c r="X16" s="218"/>
      <c r="Y16" s="218"/>
      <c r="AA16" s="217"/>
      <c r="AB16" s="217"/>
      <c r="AC16" s="217"/>
      <c r="AJ16" s="64" t="s">
        <v>172</v>
      </c>
      <c r="AK16" s="220">
        <v>28</v>
      </c>
      <c r="AP16" s="221" t="s">
        <v>316</v>
      </c>
      <c r="AQ16" s="242">
        <v>2622</v>
      </c>
      <c r="AR16" t="s">
        <v>358</v>
      </c>
      <c r="AS16">
        <v>5.2</v>
      </c>
      <c r="AT16" t="s">
        <v>358</v>
      </c>
      <c r="AU16">
        <v>3</v>
      </c>
    </row>
    <row r="17" spans="3:47">
      <c r="C17" s="19" t="s">
        <v>449</v>
      </c>
      <c r="D17" t="s">
        <v>17</v>
      </c>
      <c r="E17" t="s">
        <v>45</v>
      </c>
      <c r="H17" t="s">
        <v>244</v>
      </c>
      <c r="I17">
        <v>4824</v>
      </c>
      <c r="J17">
        <v>4631</v>
      </c>
      <c r="K17">
        <v>4450</v>
      </c>
      <c r="L17" s="64" t="s">
        <v>184</v>
      </c>
      <c r="M17" s="65">
        <f t="shared" si="2"/>
        <v>6169</v>
      </c>
      <c r="N17" s="217"/>
      <c r="O17" s="217"/>
      <c r="P17" s="217"/>
      <c r="Q17" s="217"/>
      <c r="V17" s="64" t="s">
        <v>173</v>
      </c>
      <c r="W17" s="218">
        <f>Q8</f>
        <v>61</v>
      </c>
      <c r="X17" s="218"/>
      <c r="Y17" s="218"/>
      <c r="AA17" s="217"/>
      <c r="AB17" s="217"/>
      <c r="AC17" s="217"/>
      <c r="AJ17" s="64" t="s">
        <v>173</v>
      </c>
      <c r="AK17" s="220">
        <v>33</v>
      </c>
      <c r="AP17" s="221" t="s">
        <v>317</v>
      </c>
      <c r="AQ17" s="242">
        <v>2484</v>
      </c>
      <c r="AR17" t="s">
        <v>357</v>
      </c>
      <c r="AS17">
        <v>5</v>
      </c>
      <c r="AT17" t="s">
        <v>357</v>
      </c>
      <c r="AU17">
        <v>2.8</v>
      </c>
    </row>
    <row r="18" spans="3:47">
      <c r="C18" s="19" t="s">
        <v>450</v>
      </c>
      <c r="D18" t="s">
        <v>75</v>
      </c>
      <c r="E18" t="s">
        <v>43</v>
      </c>
      <c r="L18" s="64" t="s">
        <v>185</v>
      </c>
      <c r="M18" s="65">
        <f>J3</f>
        <v>1911</v>
      </c>
      <c r="N18" s="217"/>
      <c r="O18" s="217"/>
      <c r="P18" s="217"/>
      <c r="Q18" s="217"/>
      <c r="V18" s="64" t="s">
        <v>174</v>
      </c>
      <c r="W18" s="218">
        <f>R3</f>
        <v>44</v>
      </c>
      <c r="X18" s="218"/>
      <c r="Y18" s="218"/>
      <c r="AA18" s="217"/>
      <c r="AB18" s="217"/>
      <c r="AC18" s="217"/>
      <c r="AJ18" s="64" t="s">
        <v>174</v>
      </c>
      <c r="AK18" s="220">
        <v>27</v>
      </c>
      <c r="AP18" s="221" t="s">
        <v>318</v>
      </c>
      <c r="AQ18" s="242">
        <v>2760</v>
      </c>
      <c r="AR18" t="s">
        <v>360</v>
      </c>
      <c r="AS18">
        <v>5.6</v>
      </c>
      <c r="AT18" t="s">
        <v>360</v>
      </c>
      <c r="AU18">
        <v>3.3</v>
      </c>
    </row>
    <row r="19" spans="3:47">
      <c r="C19" s="19" t="s">
        <v>451</v>
      </c>
      <c r="D19" t="s">
        <v>76</v>
      </c>
      <c r="E19" t="s">
        <v>43</v>
      </c>
      <c r="L19" s="64" t="s">
        <v>186</v>
      </c>
      <c r="M19" s="65">
        <f t="shared" ref="M19:M24" si="3">J4</f>
        <v>4493</v>
      </c>
      <c r="N19" s="217"/>
      <c r="O19" s="217"/>
      <c r="P19" s="217"/>
      <c r="Q19" s="217"/>
      <c r="V19" s="64" t="s">
        <v>175</v>
      </c>
      <c r="W19" s="218">
        <f>R4</f>
        <v>47</v>
      </c>
      <c r="X19" s="218"/>
      <c r="Y19" s="218"/>
      <c r="AA19" s="217"/>
      <c r="AB19" s="217"/>
      <c r="AC19" s="217"/>
      <c r="AJ19" s="64" t="s">
        <v>175</v>
      </c>
      <c r="AK19" s="220">
        <v>31</v>
      </c>
      <c r="AP19" s="221" t="s">
        <v>319</v>
      </c>
      <c r="AQ19" s="242">
        <v>2622</v>
      </c>
      <c r="AR19" t="s">
        <v>350</v>
      </c>
      <c r="AS19">
        <v>5.2</v>
      </c>
      <c r="AT19" t="s">
        <v>350</v>
      </c>
      <c r="AU19">
        <v>3.1</v>
      </c>
    </row>
    <row r="20" spans="3:47">
      <c r="C20" s="19" t="s">
        <v>452</v>
      </c>
      <c r="D20" t="s">
        <v>77</v>
      </c>
      <c r="E20" t="s">
        <v>37</v>
      </c>
      <c r="L20" s="64" t="s">
        <v>187</v>
      </c>
      <c r="M20" s="65">
        <f t="shared" si="3"/>
        <v>4693</v>
      </c>
      <c r="N20" s="217"/>
      <c r="O20" s="217"/>
      <c r="P20" s="217"/>
      <c r="Q20" s="217"/>
      <c r="V20" s="64" t="s">
        <v>176</v>
      </c>
      <c r="W20" s="218">
        <f>R5</f>
        <v>54</v>
      </c>
      <c r="X20" s="218"/>
      <c r="Y20" s="218"/>
      <c r="AA20" s="217"/>
      <c r="AB20" s="217"/>
      <c r="AC20" s="217"/>
      <c r="AJ20" s="64" t="s">
        <v>176</v>
      </c>
      <c r="AK20" s="220">
        <v>35</v>
      </c>
      <c r="AP20" s="221" t="s">
        <v>320</v>
      </c>
      <c r="AQ20" s="242">
        <v>2484</v>
      </c>
      <c r="AR20" t="s">
        <v>351</v>
      </c>
      <c r="AS20">
        <v>5</v>
      </c>
      <c r="AT20" t="s">
        <v>351</v>
      </c>
      <c r="AU20">
        <v>3</v>
      </c>
    </row>
    <row r="21" spans="3:47">
      <c r="C21" s="19" t="s">
        <v>453</v>
      </c>
      <c r="D21" t="s">
        <v>78</v>
      </c>
      <c r="E21" t="s">
        <v>37</v>
      </c>
      <c r="L21" s="64" t="s">
        <v>188</v>
      </c>
      <c r="M21" s="65">
        <f t="shared" si="3"/>
        <v>5315</v>
      </c>
      <c r="N21" s="217"/>
      <c r="O21" s="217"/>
      <c r="P21" s="217"/>
      <c r="Q21" s="217"/>
      <c r="V21" s="64" t="s">
        <v>179</v>
      </c>
      <c r="W21" s="218">
        <v>51</v>
      </c>
      <c r="X21" s="218"/>
      <c r="Y21" s="218"/>
      <c r="AA21" s="217"/>
      <c r="AB21" s="217"/>
      <c r="AC21" s="217"/>
      <c r="AJ21" s="64" t="s">
        <v>179</v>
      </c>
      <c r="AK21" s="219">
        <v>29</v>
      </c>
      <c r="AP21" s="221" t="s">
        <v>321</v>
      </c>
      <c r="AQ21" s="242">
        <v>219</v>
      </c>
      <c r="AR21" t="s">
        <v>352</v>
      </c>
      <c r="AS21">
        <v>34.5</v>
      </c>
      <c r="AT21" t="s">
        <v>352</v>
      </c>
      <c r="AU21">
        <v>19.3</v>
      </c>
    </row>
    <row r="22" spans="3:47">
      <c r="D22" t="s">
        <v>79</v>
      </c>
      <c r="E22" t="s">
        <v>37</v>
      </c>
      <c r="L22" s="64" t="s">
        <v>189</v>
      </c>
      <c r="M22" s="65">
        <f t="shared" si="3"/>
        <v>4500</v>
      </c>
      <c r="N22" s="217"/>
      <c r="O22" s="217"/>
      <c r="P22" s="217"/>
      <c r="Q22" s="217"/>
      <c r="V22" s="64" t="s">
        <v>180</v>
      </c>
      <c r="W22" s="218">
        <v>54</v>
      </c>
      <c r="X22" s="218"/>
      <c r="Y22" s="218"/>
      <c r="AA22" s="217"/>
      <c r="AB22" s="217"/>
      <c r="AC22" s="217"/>
      <c r="AJ22" s="64" t="s">
        <v>180</v>
      </c>
      <c r="AK22" s="219">
        <v>30</v>
      </c>
      <c r="AP22" s="221" t="s">
        <v>322</v>
      </c>
      <c r="AQ22" s="242">
        <v>207</v>
      </c>
      <c r="AR22" t="s">
        <v>353</v>
      </c>
      <c r="AS22">
        <v>32.799999999999997</v>
      </c>
      <c r="AT22" t="s">
        <v>353</v>
      </c>
      <c r="AU22">
        <v>18.399999999999999</v>
      </c>
    </row>
    <row r="23" spans="3:47">
      <c r="D23" t="s">
        <v>80</v>
      </c>
      <c r="E23" t="s">
        <v>43</v>
      </c>
      <c r="L23" s="64" t="s">
        <v>190</v>
      </c>
      <c r="M23" s="65">
        <f>J8</f>
        <v>5068</v>
      </c>
      <c r="N23" s="217"/>
      <c r="O23" s="217"/>
      <c r="P23" s="217"/>
      <c r="Q23" s="217"/>
      <c r="V23" s="64" t="s">
        <v>181</v>
      </c>
      <c r="W23" s="218">
        <v>62</v>
      </c>
      <c r="X23" s="218"/>
      <c r="Y23" s="218"/>
      <c r="AA23" s="217"/>
      <c r="AB23" s="217"/>
      <c r="AC23" s="217"/>
      <c r="AJ23" s="64" t="s">
        <v>181</v>
      </c>
      <c r="AK23" s="219">
        <v>35</v>
      </c>
      <c r="AP23" s="221" t="s">
        <v>323</v>
      </c>
      <c r="AQ23" s="242">
        <v>196</v>
      </c>
      <c r="AR23" t="s">
        <v>354</v>
      </c>
      <c r="AS23">
        <v>31.1</v>
      </c>
      <c r="AT23" t="s">
        <v>354</v>
      </c>
      <c r="AU23">
        <v>17.399999999999999</v>
      </c>
    </row>
    <row r="24" spans="3:47">
      <c r="D24" t="s">
        <v>81</v>
      </c>
      <c r="E24" t="s">
        <v>43</v>
      </c>
      <c r="L24" s="64" t="s">
        <v>191</v>
      </c>
      <c r="M24" s="65">
        <f t="shared" si="3"/>
        <v>5648</v>
      </c>
      <c r="N24" s="217"/>
      <c r="O24" s="217"/>
      <c r="P24" s="217"/>
      <c r="Q24" s="217"/>
      <c r="V24" s="64" t="s">
        <v>182</v>
      </c>
      <c r="W24" s="218">
        <v>51</v>
      </c>
      <c r="X24" s="218"/>
      <c r="Y24" s="218"/>
      <c r="AA24" s="217"/>
      <c r="AB24" s="217"/>
      <c r="AC24" s="217"/>
      <c r="AJ24" s="64" t="s">
        <v>182</v>
      </c>
      <c r="AK24" s="219">
        <v>29</v>
      </c>
      <c r="AP24" s="221" t="s">
        <v>324</v>
      </c>
      <c r="AQ24" s="242">
        <v>4025</v>
      </c>
      <c r="AR24" s="241" t="s">
        <v>347</v>
      </c>
      <c r="AS24">
        <v>4025</v>
      </c>
      <c r="AT24" s="241" t="s">
        <v>347</v>
      </c>
      <c r="AU24">
        <v>4025</v>
      </c>
    </row>
    <row r="25" spans="3:47">
      <c r="D25" t="s">
        <v>82</v>
      </c>
      <c r="E25" t="s">
        <v>43</v>
      </c>
      <c r="L25" s="64" t="s">
        <v>192</v>
      </c>
      <c r="M25" s="65">
        <f>J17</f>
        <v>4631</v>
      </c>
      <c r="N25" s="217"/>
      <c r="O25" s="217"/>
      <c r="P25" s="217"/>
      <c r="Q25" s="217"/>
      <c r="V25" s="64" t="s">
        <v>183</v>
      </c>
      <c r="W25" s="218">
        <v>59</v>
      </c>
      <c r="X25" s="218"/>
      <c r="Y25" s="218"/>
      <c r="AA25" s="217"/>
      <c r="AB25" s="217"/>
      <c r="AC25" s="217"/>
      <c r="AJ25" s="64" t="s">
        <v>183</v>
      </c>
      <c r="AK25" s="219">
        <v>33</v>
      </c>
      <c r="AP25" s="221" t="s">
        <v>325</v>
      </c>
      <c r="AQ25" s="242">
        <v>2818</v>
      </c>
      <c r="AR25" s="241" t="s">
        <v>348</v>
      </c>
      <c r="AS25">
        <v>2818</v>
      </c>
      <c r="AT25" s="241" t="s">
        <v>348</v>
      </c>
      <c r="AU25">
        <v>2818</v>
      </c>
    </row>
    <row r="26" spans="3:47">
      <c r="D26" t="s">
        <v>83</v>
      </c>
      <c r="E26" t="s">
        <v>43</v>
      </c>
      <c r="L26" s="64" t="s">
        <v>193</v>
      </c>
      <c r="M26" s="65">
        <f>J10</f>
        <v>3121</v>
      </c>
      <c r="N26" s="217"/>
      <c r="O26" s="217"/>
      <c r="P26" s="217"/>
      <c r="Q26" s="217"/>
      <c r="V26" s="64" t="s">
        <v>184</v>
      </c>
      <c r="W26" s="218">
        <v>67</v>
      </c>
      <c r="X26" s="218"/>
      <c r="Y26" s="218"/>
      <c r="AA26" s="217"/>
      <c r="AB26" s="217"/>
      <c r="AC26" s="217"/>
      <c r="AJ26" s="64" t="s">
        <v>184</v>
      </c>
      <c r="AK26" s="219">
        <v>37</v>
      </c>
      <c r="AP26" s="221" t="s">
        <v>326</v>
      </c>
      <c r="AQ26" s="242">
        <v>1863</v>
      </c>
      <c r="AR26" s="241" t="s">
        <v>349</v>
      </c>
      <c r="AS26">
        <v>1863</v>
      </c>
      <c r="AT26" s="241" t="s">
        <v>349</v>
      </c>
      <c r="AU26">
        <v>1863</v>
      </c>
    </row>
    <row r="27" spans="3:47">
      <c r="D27" t="s">
        <v>84</v>
      </c>
      <c r="E27" t="s">
        <v>43</v>
      </c>
      <c r="L27" s="64" t="s">
        <v>194</v>
      </c>
      <c r="M27" s="65">
        <f>J11</f>
        <v>4817</v>
      </c>
      <c r="N27" s="217"/>
      <c r="O27" s="217"/>
      <c r="P27" s="217"/>
      <c r="Q27" s="217"/>
      <c r="V27" s="64" t="s">
        <v>268</v>
      </c>
      <c r="W27" s="218">
        <v>46</v>
      </c>
      <c r="X27" s="218"/>
      <c r="Y27" s="218"/>
      <c r="AA27" s="217"/>
      <c r="AB27" s="217"/>
      <c r="AC27" s="217"/>
      <c r="AJ27" s="64" t="s">
        <v>268</v>
      </c>
      <c r="AK27" s="220">
        <v>26</v>
      </c>
      <c r="AP27" s="221" t="s">
        <v>327</v>
      </c>
      <c r="AQ27" s="242">
        <v>4025</v>
      </c>
      <c r="AR27" t="s">
        <v>308</v>
      </c>
      <c r="AS27">
        <v>5.5</v>
      </c>
      <c r="AT27" t="s">
        <v>308</v>
      </c>
      <c r="AU27">
        <v>3.1</v>
      </c>
    </row>
    <row r="28" spans="3:47">
      <c r="D28" t="s">
        <v>85</v>
      </c>
      <c r="E28" t="s">
        <v>37</v>
      </c>
      <c r="L28" s="64" t="s">
        <v>195</v>
      </c>
      <c r="M28" s="65">
        <f>J12</f>
        <v>5017</v>
      </c>
      <c r="N28" s="217"/>
      <c r="O28" s="217"/>
      <c r="P28" s="217"/>
      <c r="Q28" s="217"/>
      <c r="V28" s="64" t="s">
        <v>269</v>
      </c>
      <c r="W28" s="218">
        <v>49</v>
      </c>
      <c r="X28" s="218"/>
      <c r="Y28" s="218"/>
      <c r="AA28" s="217"/>
      <c r="AB28" s="217"/>
      <c r="AC28" s="217"/>
      <c r="AJ28" s="64" t="s">
        <v>269</v>
      </c>
      <c r="AK28" s="220">
        <v>27</v>
      </c>
      <c r="AP28" s="221" t="s">
        <v>328</v>
      </c>
      <c r="AQ28" s="242">
        <v>2818</v>
      </c>
      <c r="AR28" t="s">
        <v>337</v>
      </c>
      <c r="AS28">
        <v>5.2</v>
      </c>
      <c r="AT28" t="s">
        <v>337</v>
      </c>
      <c r="AU28">
        <v>3</v>
      </c>
    </row>
    <row r="29" spans="3:47">
      <c r="D29" t="s">
        <v>86</v>
      </c>
      <c r="E29" t="s">
        <v>37</v>
      </c>
      <c r="L29" s="64" t="s">
        <v>196</v>
      </c>
      <c r="M29" s="65">
        <f t="shared" ref="M29:M32" si="4">J13</f>
        <v>5639</v>
      </c>
      <c r="N29" s="217"/>
      <c r="O29" s="217"/>
      <c r="P29" s="217"/>
      <c r="Q29" s="217"/>
      <c r="V29" s="64" t="s">
        <v>270</v>
      </c>
      <c r="W29" s="218">
        <v>56</v>
      </c>
      <c r="X29" s="218"/>
      <c r="Y29" s="218"/>
      <c r="AA29" s="217"/>
      <c r="AB29" s="217"/>
      <c r="AC29" s="217"/>
      <c r="AJ29" s="64" t="s">
        <v>270</v>
      </c>
      <c r="AK29" s="220">
        <v>32</v>
      </c>
      <c r="AP29" s="221" t="s">
        <v>329</v>
      </c>
      <c r="AQ29" s="242">
        <v>1863</v>
      </c>
      <c r="AR29" t="s">
        <v>336</v>
      </c>
      <c r="AS29">
        <v>5</v>
      </c>
      <c r="AT29" t="s">
        <v>336</v>
      </c>
      <c r="AU29">
        <v>2.8</v>
      </c>
    </row>
    <row r="30" spans="3:47">
      <c r="D30" t="s">
        <v>87</v>
      </c>
      <c r="E30" t="s">
        <v>39</v>
      </c>
      <c r="L30" s="64" t="s">
        <v>197</v>
      </c>
      <c r="M30" s="65">
        <f t="shared" si="4"/>
        <v>4824</v>
      </c>
      <c r="N30" s="217"/>
      <c r="O30" s="217"/>
      <c r="P30" s="217"/>
      <c r="Q30" s="217"/>
      <c r="V30" s="64" t="s">
        <v>271</v>
      </c>
      <c r="W30" s="218">
        <v>46</v>
      </c>
      <c r="X30" s="218"/>
      <c r="Y30" s="218"/>
      <c r="AA30" s="217"/>
      <c r="AB30" s="217"/>
      <c r="AC30" s="217"/>
      <c r="AJ30" s="64" t="s">
        <v>271</v>
      </c>
      <c r="AK30" s="220">
        <v>26</v>
      </c>
      <c r="AP30" s="221" t="s">
        <v>330</v>
      </c>
      <c r="AQ30" s="242">
        <v>4025</v>
      </c>
      <c r="AR30" t="s">
        <v>310</v>
      </c>
      <c r="AS30">
        <v>5.6</v>
      </c>
      <c r="AT30" t="s">
        <v>310</v>
      </c>
      <c r="AU30">
        <v>3.3</v>
      </c>
    </row>
    <row r="31" spans="3:47">
      <c r="D31" t="s">
        <v>88</v>
      </c>
      <c r="E31" t="s">
        <v>43</v>
      </c>
      <c r="L31" s="64" t="s">
        <v>198</v>
      </c>
      <c r="M31" s="65">
        <f t="shared" si="4"/>
        <v>5392</v>
      </c>
      <c r="N31" s="217"/>
      <c r="O31" s="217"/>
      <c r="P31" s="217"/>
      <c r="Q31" s="217"/>
      <c r="V31" s="64" t="s">
        <v>272</v>
      </c>
      <c r="W31" s="218">
        <v>53</v>
      </c>
      <c r="X31" s="218"/>
      <c r="Y31" s="218"/>
      <c r="AA31" s="217"/>
      <c r="AB31" s="217"/>
      <c r="AC31" s="217"/>
      <c r="AJ31" s="64" t="s">
        <v>272</v>
      </c>
      <c r="AK31" s="220">
        <v>30</v>
      </c>
      <c r="AP31" s="221" t="s">
        <v>331</v>
      </c>
      <c r="AQ31" s="242">
        <v>2818</v>
      </c>
      <c r="AR31" t="s">
        <v>309</v>
      </c>
      <c r="AS31">
        <v>5.2</v>
      </c>
      <c r="AT31" t="s">
        <v>309</v>
      </c>
      <c r="AU31">
        <v>3.1</v>
      </c>
    </row>
    <row r="32" spans="3:47">
      <c r="D32" t="s">
        <v>89</v>
      </c>
      <c r="E32" t="s">
        <v>43</v>
      </c>
      <c r="L32" s="64" t="s">
        <v>199</v>
      </c>
      <c r="M32" s="65">
        <f t="shared" si="4"/>
        <v>5972</v>
      </c>
      <c r="N32" s="217"/>
      <c r="O32" s="217"/>
      <c r="P32" s="217"/>
      <c r="Q32" s="217"/>
      <c r="V32" s="64" t="s">
        <v>273</v>
      </c>
      <c r="W32" s="218">
        <v>61</v>
      </c>
      <c r="X32" s="218"/>
      <c r="Y32" s="218"/>
      <c r="AA32" s="217"/>
      <c r="AB32" s="217"/>
      <c r="AC32" s="217"/>
      <c r="AJ32" s="64" t="s">
        <v>273</v>
      </c>
      <c r="AK32" s="220">
        <v>34</v>
      </c>
      <c r="AP32" s="221" t="s">
        <v>332</v>
      </c>
      <c r="AQ32" s="242">
        <v>1863</v>
      </c>
      <c r="AR32" t="s">
        <v>356</v>
      </c>
      <c r="AS32">
        <v>5</v>
      </c>
      <c r="AT32" t="s">
        <v>356</v>
      </c>
      <c r="AU32">
        <v>3</v>
      </c>
    </row>
    <row r="33" spans="4:47">
      <c r="D33" t="s">
        <v>90</v>
      </c>
      <c r="E33" t="s">
        <v>43</v>
      </c>
      <c r="L33" s="64" t="s">
        <v>200</v>
      </c>
      <c r="M33" s="65">
        <f>K3</f>
        <v>1801</v>
      </c>
      <c r="N33" s="217"/>
      <c r="O33" s="217"/>
      <c r="P33" s="217"/>
      <c r="Q33" s="217"/>
      <c r="V33" s="64" t="s">
        <v>274</v>
      </c>
      <c r="W33" s="218">
        <v>46</v>
      </c>
      <c r="X33" s="218"/>
      <c r="Y33" s="218"/>
      <c r="AA33" s="217"/>
      <c r="AB33" s="217"/>
      <c r="AC33" s="217"/>
      <c r="AJ33" s="64" t="s">
        <v>274</v>
      </c>
      <c r="AK33" s="220">
        <v>26</v>
      </c>
      <c r="AP33" s="221"/>
      <c r="AQ33" s="222"/>
      <c r="AR33" t="s">
        <v>315</v>
      </c>
      <c r="AS33">
        <v>34.5</v>
      </c>
      <c r="AT33" t="s">
        <v>315</v>
      </c>
      <c r="AU33">
        <v>19.3</v>
      </c>
    </row>
    <row r="34" spans="4:47">
      <c r="D34" t="s">
        <v>91</v>
      </c>
      <c r="E34" t="s">
        <v>43</v>
      </c>
      <c r="L34" s="64" t="s">
        <v>201</v>
      </c>
      <c r="M34" s="65">
        <f t="shared" ref="M34:M39" si="5">K4</f>
        <v>4316</v>
      </c>
      <c r="N34" s="217"/>
      <c r="O34" s="217"/>
      <c r="P34" s="217"/>
      <c r="Q34" s="217"/>
      <c r="V34" s="64" t="s">
        <v>275</v>
      </c>
      <c r="W34" s="218">
        <v>49</v>
      </c>
      <c r="X34" s="218"/>
      <c r="Y34" s="218"/>
      <c r="AA34" s="217"/>
      <c r="AB34" s="217"/>
      <c r="AC34" s="217"/>
      <c r="AJ34" s="64" t="s">
        <v>275</v>
      </c>
      <c r="AK34" s="220">
        <v>27</v>
      </c>
      <c r="AP34" s="221"/>
      <c r="AQ34" s="222"/>
      <c r="AR34" t="s">
        <v>316</v>
      </c>
      <c r="AS34">
        <v>32.799999999999997</v>
      </c>
      <c r="AT34" t="s">
        <v>316</v>
      </c>
      <c r="AU34">
        <v>18.399999999999999</v>
      </c>
    </row>
    <row r="35" spans="4:47">
      <c r="D35" t="s">
        <v>92</v>
      </c>
      <c r="E35" t="s">
        <v>43</v>
      </c>
      <c r="L35" s="66" t="s">
        <v>202</v>
      </c>
      <c r="M35" s="65">
        <f t="shared" si="5"/>
        <v>4516</v>
      </c>
      <c r="N35" s="217"/>
      <c r="O35" s="217"/>
      <c r="P35" s="217"/>
      <c r="Q35" s="217"/>
      <c r="V35" s="64" t="s">
        <v>276</v>
      </c>
      <c r="W35" s="218">
        <v>56</v>
      </c>
      <c r="X35" s="218"/>
      <c r="Y35" s="218"/>
      <c r="AA35" s="217"/>
      <c r="AB35" s="217"/>
      <c r="AC35" s="217"/>
      <c r="AJ35" s="64" t="s">
        <v>276</v>
      </c>
      <c r="AK35" s="220">
        <v>32</v>
      </c>
      <c r="AP35" s="221"/>
      <c r="AQ35" s="222"/>
      <c r="AR35" t="s">
        <v>317</v>
      </c>
      <c r="AS35">
        <v>31.1</v>
      </c>
      <c r="AT35" t="s">
        <v>317</v>
      </c>
      <c r="AU35">
        <v>17.399999999999999</v>
      </c>
    </row>
    <row r="36" spans="4:47">
      <c r="D36" t="s">
        <v>93</v>
      </c>
      <c r="E36" t="s">
        <v>47</v>
      </c>
      <c r="L36" s="64" t="s">
        <v>203</v>
      </c>
      <c r="M36" s="65">
        <f t="shared" si="5"/>
        <v>5138</v>
      </c>
      <c r="N36" s="217"/>
      <c r="O36" s="217"/>
      <c r="P36" s="217"/>
      <c r="Q36" s="217"/>
      <c r="V36" s="64" t="s">
        <v>277</v>
      </c>
      <c r="W36" s="218">
        <v>46</v>
      </c>
      <c r="X36" s="218"/>
      <c r="Y36" s="218"/>
      <c r="AA36" s="217"/>
      <c r="AB36" s="217"/>
      <c r="AC36" s="217"/>
      <c r="AJ36" s="64" t="s">
        <v>277</v>
      </c>
      <c r="AK36" s="220">
        <v>26</v>
      </c>
      <c r="AP36" s="221"/>
      <c r="AQ36" s="222"/>
      <c r="AR36" s="241" t="s">
        <v>324</v>
      </c>
      <c r="AS36">
        <v>4025</v>
      </c>
      <c r="AT36" s="241" t="s">
        <v>324</v>
      </c>
      <c r="AU36">
        <v>4025</v>
      </c>
    </row>
    <row r="37" spans="4:47">
      <c r="D37" t="s">
        <v>94</v>
      </c>
      <c r="E37" t="s">
        <v>47</v>
      </c>
      <c r="L37" s="64" t="s">
        <v>204</v>
      </c>
      <c r="M37" s="65">
        <f t="shared" si="5"/>
        <v>4302</v>
      </c>
      <c r="N37" s="217"/>
      <c r="O37" s="217"/>
      <c r="P37" s="217"/>
      <c r="Q37" s="217"/>
      <c r="V37" s="64" t="s">
        <v>278</v>
      </c>
      <c r="W37" s="218">
        <v>53</v>
      </c>
      <c r="X37" s="218"/>
      <c r="Y37" s="218"/>
      <c r="AA37" s="217"/>
      <c r="AB37" s="217"/>
      <c r="AC37" s="217"/>
      <c r="AJ37" s="64" t="s">
        <v>278</v>
      </c>
      <c r="AK37" s="220">
        <v>30</v>
      </c>
      <c r="AP37" s="221"/>
      <c r="AQ37" s="222"/>
      <c r="AR37" s="241" t="s">
        <v>325</v>
      </c>
      <c r="AS37">
        <v>2818</v>
      </c>
      <c r="AT37" s="241" t="s">
        <v>325</v>
      </c>
      <c r="AU37">
        <v>2818</v>
      </c>
    </row>
    <row r="38" spans="4:47">
      <c r="D38" t="s">
        <v>95</v>
      </c>
      <c r="E38" t="s">
        <v>47</v>
      </c>
      <c r="L38" s="64" t="s">
        <v>205</v>
      </c>
      <c r="M38" s="65">
        <f t="shared" si="5"/>
        <v>4870</v>
      </c>
      <c r="N38" s="217"/>
      <c r="O38" s="217"/>
      <c r="P38" s="217"/>
      <c r="Q38" s="217"/>
      <c r="V38" s="64" t="s">
        <v>279</v>
      </c>
      <c r="W38" s="218">
        <v>61</v>
      </c>
      <c r="X38" s="218"/>
      <c r="Y38" s="218"/>
      <c r="AA38" s="217"/>
      <c r="AB38" s="217"/>
      <c r="AC38" s="217"/>
      <c r="AJ38" s="64" t="s">
        <v>279</v>
      </c>
      <c r="AK38" s="220">
        <v>34</v>
      </c>
      <c r="AP38" s="221"/>
      <c r="AQ38" s="222"/>
      <c r="AR38" s="241" t="s">
        <v>326</v>
      </c>
      <c r="AS38">
        <v>1863</v>
      </c>
      <c r="AT38" s="241" t="s">
        <v>326</v>
      </c>
      <c r="AU38">
        <v>1863</v>
      </c>
    </row>
    <row r="39" spans="4:47">
      <c r="D39" t="s">
        <v>96</v>
      </c>
      <c r="E39" t="s">
        <v>47</v>
      </c>
      <c r="L39" s="64" t="s">
        <v>206</v>
      </c>
      <c r="M39" s="65">
        <f t="shared" si="5"/>
        <v>5450</v>
      </c>
      <c r="N39" s="217"/>
      <c r="O39" s="217"/>
      <c r="P39" s="217"/>
      <c r="Q39" s="217"/>
      <c r="V39" s="64" t="s">
        <v>186</v>
      </c>
      <c r="W39" s="218">
        <v>46</v>
      </c>
      <c r="X39" s="218"/>
      <c r="Y39" s="218"/>
      <c r="AJ39" s="64" t="s">
        <v>186</v>
      </c>
      <c r="AK39" s="220">
        <v>26</v>
      </c>
      <c r="AP39" s="221"/>
      <c r="AQ39" s="222"/>
      <c r="AR39" t="s">
        <v>335</v>
      </c>
      <c r="AS39">
        <v>5.5</v>
      </c>
      <c r="AT39" t="s">
        <v>335</v>
      </c>
      <c r="AU39">
        <v>3.1</v>
      </c>
    </row>
    <row r="40" spans="4:47">
      <c r="D40" t="s">
        <v>97</v>
      </c>
      <c r="E40" t="s">
        <v>47</v>
      </c>
      <c r="L40" s="64" t="s">
        <v>207</v>
      </c>
      <c r="M40" s="65">
        <f>K17</f>
        <v>4450</v>
      </c>
      <c r="N40" s="217"/>
      <c r="O40" s="217"/>
      <c r="P40" s="217"/>
      <c r="Q40" s="217"/>
      <c r="V40" s="64" t="s">
        <v>187</v>
      </c>
      <c r="W40" s="218">
        <v>49</v>
      </c>
      <c r="X40" s="218"/>
      <c r="Y40" s="218"/>
      <c r="AJ40" s="64" t="s">
        <v>187</v>
      </c>
      <c r="AK40" s="220">
        <v>27</v>
      </c>
      <c r="AP40" s="221"/>
      <c r="AQ40" s="222"/>
      <c r="AR40" t="s">
        <v>334</v>
      </c>
      <c r="AS40">
        <v>5.2</v>
      </c>
      <c r="AT40" t="s">
        <v>334</v>
      </c>
      <c r="AU40">
        <v>3</v>
      </c>
    </row>
    <row r="41" spans="4:47">
      <c r="D41" t="s">
        <v>98</v>
      </c>
      <c r="E41" t="s">
        <v>47</v>
      </c>
      <c r="L41" s="64" t="s">
        <v>208</v>
      </c>
      <c r="M41" s="65">
        <f>K10</f>
        <v>3011</v>
      </c>
      <c r="N41" s="217"/>
      <c r="O41" s="217"/>
      <c r="P41" s="217"/>
      <c r="Q41" s="217"/>
      <c r="V41" s="64" t="s">
        <v>188</v>
      </c>
      <c r="W41" s="218">
        <v>56</v>
      </c>
      <c r="X41" s="218"/>
      <c r="Y41" s="218"/>
      <c r="AJ41" s="64" t="s">
        <v>188</v>
      </c>
      <c r="AK41" s="220">
        <v>32</v>
      </c>
      <c r="AP41" s="64"/>
      <c r="AQ41" s="222"/>
      <c r="AR41" t="s">
        <v>361</v>
      </c>
      <c r="AS41">
        <v>5</v>
      </c>
      <c r="AT41" t="s">
        <v>361</v>
      </c>
      <c r="AU41">
        <v>2.8</v>
      </c>
    </row>
    <row r="42" spans="4:47">
      <c r="D42" t="s">
        <v>99</v>
      </c>
      <c r="E42" t="s">
        <v>47</v>
      </c>
      <c r="L42" s="64" t="s">
        <v>209</v>
      </c>
      <c r="M42" s="65" cm="1">
        <f t="array" ref="M42:M47">K11:K16</f>
        <v>4640</v>
      </c>
      <c r="N42" s="217"/>
      <c r="O42" s="217"/>
      <c r="P42" s="217"/>
      <c r="Q42" s="217"/>
      <c r="V42" s="64" t="s">
        <v>189</v>
      </c>
      <c r="W42" s="218">
        <v>46</v>
      </c>
      <c r="X42" s="218"/>
      <c r="Y42" s="218"/>
      <c r="AJ42" s="64" t="s">
        <v>189</v>
      </c>
      <c r="AK42" s="220">
        <v>26</v>
      </c>
      <c r="AP42" s="64"/>
      <c r="AQ42" s="222"/>
      <c r="AR42" t="s">
        <v>362</v>
      </c>
      <c r="AS42">
        <v>5.6</v>
      </c>
      <c r="AT42" t="s">
        <v>362</v>
      </c>
      <c r="AU42">
        <v>3.3</v>
      </c>
    </row>
    <row r="43" spans="4:47">
      <c r="D43" t="s">
        <v>100</v>
      </c>
      <c r="E43" t="s">
        <v>47</v>
      </c>
      <c r="L43" s="64" t="s">
        <v>210</v>
      </c>
      <c r="M43" s="65">
        <v>4840</v>
      </c>
      <c r="N43" s="217"/>
      <c r="O43" s="217"/>
      <c r="P43" s="217"/>
      <c r="Q43" s="217"/>
      <c r="V43" s="64" t="s">
        <v>190</v>
      </c>
      <c r="W43" s="218">
        <v>53</v>
      </c>
      <c r="X43" s="218"/>
      <c r="Y43" s="218"/>
      <c r="AJ43" s="64" t="s">
        <v>190</v>
      </c>
      <c r="AK43" s="220">
        <v>30</v>
      </c>
      <c r="AR43" t="s">
        <v>313</v>
      </c>
      <c r="AS43">
        <v>5.2</v>
      </c>
      <c r="AT43" t="s">
        <v>313</v>
      </c>
      <c r="AU43">
        <v>3.1</v>
      </c>
    </row>
    <row r="44" spans="4:47">
      <c r="D44" t="s">
        <v>101</v>
      </c>
      <c r="E44" t="s">
        <v>47</v>
      </c>
      <c r="L44" s="64" t="s">
        <v>211</v>
      </c>
      <c r="M44" s="65">
        <v>5462</v>
      </c>
      <c r="N44" s="217"/>
      <c r="O44" s="217"/>
      <c r="P44" s="217"/>
      <c r="Q44" s="217"/>
      <c r="V44" s="64" t="s">
        <v>191</v>
      </c>
      <c r="W44" s="218">
        <v>61</v>
      </c>
      <c r="X44" s="218"/>
      <c r="Y44" s="218"/>
      <c r="AJ44" s="64" t="s">
        <v>191</v>
      </c>
      <c r="AK44" s="220">
        <v>34</v>
      </c>
      <c r="AR44" t="s">
        <v>314</v>
      </c>
      <c r="AS44">
        <v>5</v>
      </c>
      <c r="AT44" t="s">
        <v>314</v>
      </c>
      <c r="AU44">
        <v>3</v>
      </c>
    </row>
    <row r="45" spans="4:47">
      <c r="D45" t="s">
        <v>102</v>
      </c>
      <c r="E45" t="s">
        <v>47</v>
      </c>
      <c r="L45" s="64" t="s">
        <v>212</v>
      </c>
      <c r="M45" s="65">
        <v>4626</v>
      </c>
      <c r="N45" s="217"/>
      <c r="O45" s="217"/>
      <c r="P45" s="217"/>
      <c r="Q45" s="217"/>
      <c r="V45" s="64" t="s">
        <v>194</v>
      </c>
      <c r="W45" s="218">
        <v>49</v>
      </c>
      <c r="X45" s="218"/>
      <c r="Y45" s="218"/>
      <c r="AJ45" s="64" t="s">
        <v>194</v>
      </c>
      <c r="AK45" s="219">
        <v>28</v>
      </c>
      <c r="AR45" t="s">
        <v>318</v>
      </c>
      <c r="AS45">
        <v>34.5</v>
      </c>
      <c r="AT45" t="s">
        <v>318</v>
      </c>
      <c r="AU45">
        <v>19.3</v>
      </c>
    </row>
    <row r="46" spans="4:47">
      <c r="D46" t="s">
        <v>103</v>
      </c>
      <c r="E46" t="s">
        <v>47</v>
      </c>
      <c r="L46" s="64" t="s">
        <v>213</v>
      </c>
      <c r="M46" s="65">
        <v>5194</v>
      </c>
      <c r="N46" s="217"/>
      <c r="O46" s="217"/>
      <c r="P46" s="217"/>
      <c r="Q46" s="217"/>
      <c r="V46" s="64" t="s">
        <v>195</v>
      </c>
      <c r="W46" s="218">
        <v>52</v>
      </c>
      <c r="X46" s="218"/>
      <c r="Y46" s="218"/>
      <c r="AJ46" s="64" t="s">
        <v>195</v>
      </c>
      <c r="AK46" s="219">
        <v>29</v>
      </c>
      <c r="AR46" t="s">
        <v>319</v>
      </c>
      <c r="AS46">
        <v>32.799999999999997</v>
      </c>
      <c r="AT46" t="s">
        <v>319</v>
      </c>
      <c r="AU46">
        <v>18.399999999999999</v>
      </c>
    </row>
    <row r="47" spans="4:47">
      <c r="D47" t="s">
        <v>104</v>
      </c>
      <c r="E47" t="s">
        <v>47</v>
      </c>
      <c r="L47" s="64" t="s">
        <v>214</v>
      </c>
      <c r="M47" s="65">
        <v>5774</v>
      </c>
      <c r="N47" s="217"/>
      <c r="O47" s="217"/>
      <c r="P47" s="217"/>
      <c r="Q47" s="217"/>
      <c r="V47" s="64" t="s">
        <v>196</v>
      </c>
      <c r="W47" s="218">
        <v>60</v>
      </c>
      <c r="X47" s="218"/>
      <c r="Y47" s="218"/>
      <c r="AJ47" s="64" t="s">
        <v>196</v>
      </c>
      <c r="AK47" s="219">
        <v>34</v>
      </c>
      <c r="AR47" t="s">
        <v>320</v>
      </c>
      <c r="AS47">
        <v>31.1</v>
      </c>
      <c r="AT47" t="s">
        <v>320</v>
      </c>
      <c r="AU47">
        <v>17.399999999999999</v>
      </c>
    </row>
    <row r="48" spans="4:47">
      <c r="D48" t="s">
        <v>105</v>
      </c>
      <c r="E48" t="s">
        <v>47</v>
      </c>
      <c r="V48" s="64" t="s">
        <v>197</v>
      </c>
      <c r="W48" s="218">
        <v>49</v>
      </c>
      <c r="X48" s="218"/>
      <c r="Y48" s="218"/>
      <c r="AJ48" s="64" t="s">
        <v>197</v>
      </c>
      <c r="AK48" s="219">
        <v>28</v>
      </c>
      <c r="AR48" s="241" t="s">
        <v>327</v>
      </c>
      <c r="AS48">
        <v>4025</v>
      </c>
      <c r="AT48" s="241" t="s">
        <v>327</v>
      </c>
      <c r="AU48">
        <v>4025</v>
      </c>
    </row>
    <row r="49" spans="4:47">
      <c r="D49" t="s">
        <v>106</v>
      </c>
      <c r="E49" t="s">
        <v>35</v>
      </c>
      <c r="V49" s="64" t="s">
        <v>198</v>
      </c>
      <c r="W49" s="218">
        <v>57</v>
      </c>
      <c r="X49" s="218"/>
      <c r="Y49" s="218"/>
      <c r="AJ49" s="64" t="s">
        <v>198</v>
      </c>
      <c r="AK49" s="219">
        <v>32</v>
      </c>
      <c r="AR49" s="241" t="s">
        <v>328</v>
      </c>
      <c r="AS49">
        <v>2818</v>
      </c>
      <c r="AT49" s="241" t="s">
        <v>328</v>
      </c>
      <c r="AU49">
        <v>2818</v>
      </c>
    </row>
    <row r="50" spans="4:47">
      <c r="D50" t="s">
        <v>107</v>
      </c>
      <c r="E50" t="s">
        <v>35</v>
      </c>
      <c r="V50" s="64" t="s">
        <v>199</v>
      </c>
      <c r="W50" s="218">
        <v>64</v>
      </c>
      <c r="X50" s="218"/>
      <c r="Y50" s="218"/>
      <c r="AJ50" s="64" t="s">
        <v>199</v>
      </c>
      <c r="AK50" s="219">
        <v>36</v>
      </c>
      <c r="AR50" s="241" t="s">
        <v>329</v>
      </c>
      <c r="AS50">
        <v>1863</v>
      </c>
      <c r="AT50" s="241" t="s">
        <v>329</v>
      </c>
      <c r="AU50">
        <v>1863</v>
      </c>
    </row>
    <row r="51" spans="4:47">
      <c r="D51" t="s">
        <v>108</v>
      </c>
      <c r="E51" t="s">
        <v>35</v>
      </c>
      <c r="V51" s="64" t="s">
        <v>383</v>
      </c>
      <c r="W51" s="218">
        <v>44</v>
      </c>
      <c r="X51" s="218"/>
      <c r="Y51" s="218"/>
      <c r="AJ51" s="64" t="s">
        <v>383</v>
      </c>
      <c r="AK51" s="219">
        <v>25</v>
      </c>
    </row>
    <row r="52" spans="4:47">
      <c r="D52" t="s">
        <v>109</v>
      </c>
      <c r="E52" t="s">
        <v>35</v>
      </c>
      <c r="V52" s="64" t="s">
        <v>384</v>
      </c>
      <c r="W52" s="218">
        <v>47</v>
      </c>
      <c r="X52" s="218"/>
      <c r="Y52" s="218"/>
      <c r="AJ52" s="64" t="s">
        <v>384</v>
      </c>
      <c r="AK52" s="219">
        <v>26</v>
      </c>
    </row>
    <row r="53" spans="4:47">
      <c r="D53" t="s">
        <v>110</v>
      </c>
      <c r="E53" t="s">
        <v>35</v>
      </c>
      <c r="V53" s="64" t="s">
        <v>385</v>
      </c>
      <c r="W53" s="218">
        <v>54</v>
      </c>
      <c r="X53" s="218"/>
      <c r="Y53" s="218"/>
      <c r="AJ53" s="64" t="s">
        <v>385</v>
      </c>
      <c r="AK53" s="219">
        <v>31</v>
      </c>
    </row>
    <row r="54" spans="4:47">
      <c r="D54" t="s">
        <v>111</v>
      </c>
      <c r="E54" t="s">
        <v>35</v>
      </c>
      <c r="V54" s="64" t="s">
        <v>394</v>
      </c>
      <c r="W54" s="218">
        <v>44</v>
      </c>
      <c r="X54" s="218"/>
      <c r="Y54" s="218"/>
      <c r="AJ54" s="64" t="s">
        <v>394</v>
      </c>
      <c r="AK54" s="219">
        <v>25</v>
      </c>
    </row>
    <row r="55" spans="4:47">
      <c r="D55" t="s">
        <v>15</v>
      </c>
      <c r="E55" t="s">
        <v>35</v>
      </c>
      <c r="V55" s="64" t="s">
        <v>386</v>
      </c>
      <c r="W55" s="218">
        <v>51</v>
      </c>
      <c r="X55" s="218"/>
      <c r="Y55" s="218"/>
      <c r="AJ55" s="64" t="s">
        <v>386</v>
      </c>
      <c r="AK55" s="219">
        <v>29</v>
      </c>
    </row>
    <row r="56" spans="4:47">
      <c r="D56" t="s">
        <v>112</v>
      </c>
      <c r="E56" t="s">
        <v>33</v>
      </c>
      <c r="V56" s="64" t="s">
        <v>387</v>
      </c>
      <c r="W56" s="218">
        <v>59</v>
      </c>
      <c r="X56" s="218"/>
      <c r="Y56" s="218"/>
      <c r="AJ56" s="64" t="s">
        <v>387</v>
      </c>
      <c r="AK56" s="219">
        <v>33</v>
      </c>
    </row>
    <row r="57" spans="4:47">
      <c r="D57" t="s">
        <v>16</v>
      </c>
      <c r="E57" t="s">
        <v>35</v>
      </c>
      <c r="V57" s="64" t="s">
        <v>388</v>
      </c>
      <c r="W57" s="218">
        <v>44</v>
      </c>
      <c r="X57" s="218"/>
      <c r="Y57" s="218"/>
      <c r="AJ57" s="64" t="s">
        <v>388</v>
      </c>
      <c r="AK57" s="219">
        <v>25</v>
      </c>
    </row>
    <row r="58" spans="4:47">
      <c r="D58" t="s">
        <v>113</v>
      </c>
      <c r="E58" t="s">
        <v>35</v>
      </c>
      <c r="V58" s="64" t="s">
        <v>389</v>
      </c>
      <c r="W58" s="218">
        <v>47</v>
      </c>
      <c r="X58" s="218"/>
      <c r="Y58" s="218"/>
      <c r="AJ58" s="64" t="s">
        <v>389</v>
      </c>
      <c r="AK58" s="219">
        <v>26</v>
      </c>
    </row>
    <row r="59" spans="4:47">
      <c r="D59" t="s">
        <v>114</v>
      </c>
      <c r="E59" t="s">
        <v>35</v>
      </c>
      <c r="V59" s="64" t="s">
        <v>390</v>
      </c>
      <c r="W59" s="218">
        <v>54</v>
      </c>
      <c r="X59" s="218"/>
      <c r="Y59" s="218"/>
      <c r="AJ59" s="64" t="s">
        <v>390</v>
      </c>
      <c r="AK59" s="219">
        <v>31</v>
      </c>
    </row>
    <row r="60" spans="4:47">
      <c r="D60" t="s">
        <v>115</v>
      </c>
      <c r="E60" t="s">
        <v>35</v>
      </c>
      <c r="V60" s="64" t="s">
        <v>391</v>
      </c>
      <c r="W60" s="218">
        <v>44</v>
      </c>
      <c r="X60" s="218"/>
      <c r="Y60" s="218"/>
      <c r="AJ60" s="64" t="s">
        <v>391</v>
      </c>
      <c r="AK60" s="219">
        <v>25</v>
      </c>
    </row>
    <row r="61" spans="4:47">
      <c r="D61" t="s">
        <v>116</v>
      </c>
      <c r="E61" t="s">
        <v>33</v>
      </c>
      <c r="V61" s="64" t="s">
        <v>392</v>
      </c>
      <c r="W61" s="218">
        <v>51</v>
      </c>
      <c r="X61" s="218"/>
      <c r="Y61" s="218"/>
      <c r="AJ61" s="64" t="s">
        <v>392</v>
      </c>
      <c r="AK61" s="219">
        <v>29</v>
      </c>
    </row>
    <row r="62" spans="4:47">
      <c r="D62" t="s">
        <v>117</v>
      </c>
      <c r="E62" t="s">
        <v>35</v>
      </c>
      <c r="V62" s="64" t="s">
        <v>393</v>
      </c>
      <c r="W62" s="218">
        <v>59</v>
      </c>
      <c r="X62" s="218"/>
      <c r="Y62" s="218"/>
      <c r="AJ62" s="64" t="s">
        <v>393</v>
      </c>
      <c r="AK62" s="219">
        <v>33</v>
      </c>
    </row>
    <row r="63" spans="4:47">
      <c r="D63" t="s">
        <v>118</v>
      </c>
      <c r="E63" t="s">
        <v>41</v>
      </c>
      <c r="V63" s="64" t="s">
        <v>201</v>
      </c>
      <c r="W63" s="218">
        <v>44</v>
      </c>
      <c r="X63" s="218"/>
      <c r="Y63" s="218"/>
      <c r="AJ63" s="64" t="s">
        <v>201</v>
      </c>
      <c r="AK63" s="219">
        <v>25</v>
      </c>
    </row>
    <row r="64" spans="4:47">
      <c r="D64" t="s">
        <v>119</v>
      </c>
      <c r="E64" t="s">
        <v>37</v>
      </c>
      <c r="V64" s="64" t="s">
        <v>202</v>
      </c>
      <c r="W64" s="218">
        <v>47</v>
      </c>
      <c r="X64" s="218"/>
      <c r="Y64" s="218"/>
      <c r="AJ64" s="64" t="s">
        <v>202</v>
      </c>
      <c r="AK64" s="219">
        <v>26</v>
      </c>
    </row>
    <row r="65" spans="4:37">
      <c r="D65" t="s">
        <v>120</v>
      </c>
      <c r="E65" t="s">
        <v>37</v>
      </c>
      <c r="V65" s="64" t="s">
        <v>203</v>
      </c>
      <c r="W65" s="218">
        <v>54</v>
      </c>
      <c r="X65" s="218"/>
      <c r="Y65" s="218"/>
      <c r="AJ65" s="64" t="s">
        <v>203</v>
      </c>
      <c r="AK65" s="219">
        <v>31</v>
      </c>
    </row>
    <row r="66" spans="4:37">
      <c r="D66" t="s">
        <v>121</v>
      </c>
      <c r="E66" t="s">
        <v>37</v>
      </c>
      <c r="V66" s="64" t="s">
        <v>204</v>
      </c>
      <c r="W66" s="218">
        <v>44</v>
      </c>
      <c r="X66" s="218"/>
      <c r="Y66" s="218"/>
      <c r="AJ66" s="64" t="s">
        <v>204</v>
      </c>
      <c r="AK66" s="219">
        <v>25</v>
      </c>
    </row>
    <row r="67" spans="4:37">
      <c r="D67" t="s">
        <v>14</v>
      </c>
      <c r="E67" t="s">
        <v>37</v>
      </c>
      <c r="V67" s="64" t="s">
        <v>205</v>
      </c>
      <c r="W67" s="218">
        <v>51</v>
      </c>
      <c r="X67" s="218"/>
      <c r="Y67" s="218"/>
      <c r="AJ67" s="64" t="s">
        <v>205</v>
      </c>
      <c r="AK67" s="219">
        <v>29</v>
      </c>
    </row>
    <row r="68" spans="4:37">
      <c r="D68" t="s">
        <v>122</v>
      </c>
      <c r="E68" t="s">
        <v>37</v>
      </c>
      <c r="V68" s="64" t="s">
        <v>206</v>
      </c>
      <c r="W68" s="218">
        <v>59</v>
      </c>
      <c r="X68" s="218"/>
      <c r="Y68" s="218"/>
      <c r="AJ68" s="64" t="s">
        <v>206</v>
      </c>
      <c r="AK68" s="219">
        <v>33</v>
      </c>
    </row>
    <row r="69" spans="4:37">
      <c r="D69" t="s">
        <v>123</v>
      </c>
      <c r="E69" t="s">
        <v>43</v>
      </c>
      <c r="V69" s="64" t="s">
        <v>209</v>
      </c>
      <c r="W69" s="218">
        <v>47</v>
      </c>
      <c r="X69" s="218"/>
      <c r="Y69" s="218"/>
      <c r="AJ69" s="64" t="s">
        <v>209</v>
      </c>
      <c r="AK69" s="219">
        <v>27</v>
      </c>
    </row>
    <row r="70" spans="4:37">
      <c r="D70" t="s">
        <v>124</v>
      </c>
      <c r="E70" t="s">
        <v>43</v>
      </c>
      <c r="V70" s="64" t="s">
        <v>210</v>
      </c>
      <c r="W70" s="218">
        <v>50</v>
      </c>
      <c r="X70" s="218"/>
      <c r="Y70" s="218"/>
      <c r="AJ70" s="64" t="s">
        <v>210</v>
      </c>
      <c r="AK70" s="219">
        <v>28</v>
      </c>
    </row>
    <row r="71" spans="4:37">
      <c r="D71" t="s">
        <v>125</v>
      </c>
      <c r="E71" t="s">
        <v>43</v>
      </c>
      <c r="V71" s="64" t="s">
        <v>211</v>
      </c>
      <c r="W71" s="218">
        <v>58</v>
      </c>
      <c r="X71" s="218"/>
      <c r="Y71" s="218"/>
      <c r="AJ71" s="64" t="s">
        <v>211</v>
      </c>
      <c r="AK71" s="219">
        <v>33</v>
      </c>
    </row>
    <row r="72" spans="4:37">
      <c r="D72" t="s">
        <v>126</v>
      </c>
      <c r="E72" t="s">
        <v>43</v>
      </c>
      <c r="V72" s="64" t="s">
        <v>212</v>
      </c>
      <c r="W72" s="218">
        <v>47</v>
      </c>
      <c r="X72" s="218"/>
      <c r="Y72" s="218"/>
      <c r="AJ72" s="64" t="s">
        <v>212</v>
      </c>
      <c r="AK72" s="219">
        <v>27</v>
      </c>
    </row>
    <row r="73" spans="4:37">
      <c r="D73" t="s">
        <v>127</v>
      </c>
      <c r="E73" t="s">
        <v>37</v>
      </c>
      <c r="V73" s="64" t="s">
        <v>213</v>
      </c>
      <c r="W73" s="218">
        <v>55</v>
      </c>
      <c r="X73" s="218"/>
      <c r="Y73" s="218"/>
      <c r="AJ73" s="64" t="s">
        <v>213</v>
      </c>
      <c r="AK73" s="219">
        <v>31</v>
      </c>
    </row>
    <row r="74" spans="4:37">
      <c r="V74" s="64" t="s">
        <v>214</v>
      </c>
      <c r="W74" s="218">
        <v>62</v>
      </c>
      <c r="X74" s="218"/>
      <c r="Y74" s="218"/>
      <c r="AJ74" s="64" t="s">
        <v>214</v>
      </c>
      <c r="AK74" s="219">
        <v>35</v>
      </c>
    </row>
    <row r="75" spans="4:37">
      <c r="AK75" s="218"/>
    </row>
  </sheetData>
  <mergeCells count="5">
    <mergeCell ref="I1:M1"/>
    <mergeCell ref="P1:R1"/>
    <mergeCell ref="S1:U1"/>
    <mergeCell ref="AB1:AD1"/>
    <mergeCell ref="AE1:AG1"/>
  </mergeCells>
  <phoneticPr fontId="35"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8"/>
  <sheetViews>
    <sheetView zoomScale="80" zoomScaleNormal="80" workbookViewId="0">
      <selection activeCell="B13" sqref="B13"/>
    </sheetView>
  </sheetViews>
  <sheetFormatPr baseColWidth="10" defaultRowHeight="14.5"/>
  <cols>
    <col min="1" max="1" width="27" customWidth="1"/>
    <col min="3" max="3" width="52.54296875" customWidth="1"/>
  </cols>
  <sheetData>
    <row r="1" spans="1:18" ht="19.5" customHeight="1" thickBot="1">
      <c r="A1" s="641" t="s">
        <v>18</v>
      </c>
      <c r="B1" s="642"/>
      <c r="C1" s="642"/>
      <c r="D1" s="643" t="s">
        <v>19</v>
      </c>
      <c r="E1" s="644"/>
      <c r="F1" s="645"/>
      <c r="G1" s="644" t="s">
        <v>20</v>
      </c>
      <c r="H1" s="644"/>
      <c r="I1" s="644"/>
      <c r="J1" s="643" t="s">
        <v>21</v>
      </c>
      <c r="K1" s="644"/>
      <c r="L1" s="645"/>
      <c r="M1" s="644" t="s">
        <v>22</v>
      </c>
      <c r="N1" s="644"/>
      <c r="O1" s="644"/>
      <c r="P1" s="643" t="s">
        <v>23</v>
      </c>
      <c r="Q1" s="644"/>
      <c r="R1" s="645"/>
    </row>
    <row r="2" spans="1:18" ht="86.25" customHeight="1" thickBot="1">
      <c r="A2" s="67" t="s">
        <v>230</v>
      </c>
      <c r="B2" s="68"/>
      <c r="C2" s="69"/>
      <c r="D2" s="646" t="s">
        <v>24</v>
      </c>
      <c r="E2" s="647"/>
      <c r="F2" s="648"/>
      <c r="G2" s="646" t="s">
        <v>25</v>
      </c>
      <c r="H2" s="647"/>
      <c r="I2" s="648"/>
      <c r="J2" s="649" t="s">
        <v>26</v>
      </c>
      <c r="K2" s="650"/>
      <c r="L2" s="651"/>
      <c r="M2" s="649" t="s">
        <v>27</v>
      </c>
      <c r="N2" s="650"/>
      <c r="O2" s="651"/>
      <c r="P2" s="646" t="s">
        <v>28</v>
      </c>
      <c r="Q2" s="647"/>
      <c r="R2" s="648"/>
    </row>
    <row r="3" spans="1:18" ht="19" thickBot="1">
      <c r="A3" s="72"/>
      <c r="B3" s="73" t="s">
        <v>29</v>
      </c>
      <c r="C3" s="74" t="s">
        <v>215</v>
      </c>
      <c r="D3" s="75" t="s">
        <v>30</v>
      </c>
      <c r="E3" s="76" t="s">
        <v>31</v>
      </c>
      <c r="F3" s="77" t="s">
        <v>32</v>
      </c>
      <c r="G3" s="78" t="s">
        <v>30</v>
      </c>
      <c r="H3" s="76" t="s">
        <v>31</v>
      </c>
      <c r="I3" s="78" t="s">
        <v>32</v>
      </c>
      <c r="J3" s="75" t="s">
        <v>30</v>
      </c>
      <c r="K3" s="76" t="s">
        <v>31</v>
      </c>
      <c r="L3" s="77" t="s">
        <v>32</v>
      </c>
      <c r="M3" s="75" t="s">
        <v>30</v>
      </c>
      <c r="N3" s="76" t="s">
        <v>31</v>
      </c>
      <c r="O3" s="78" t="s">
        <v>32</v>
      </c>
      <c r="P3" s="75" t="s">
        <v>30</v>
      </c>
      <c r="Q3" s="76" t="s">
        <v>31</v>
      </c>
      <c r="R3" s="77" t="s">
        <v>32</v>
      </c>
    </row>
    <row r="4" spans="1:18" ht="18.5">
      <c r="A4" s="637" t="s">
        <v>216</v>
      </c>
      <c r="B4" s="79" t="s">
        <v>33</v>
      </c>
      <c r="C4" s="80" t="s">
        <v>34</v>
      </c>
      <c r="D4" s="81">
        <v>2131</v>
      </c>
      <c r="E4" s="82">
        <v>1911</v>
      </c>
      <c r="F4" s="83">
        <v>1801</v>
      </c>
      <c r="G4" s="82">
        <v>3341</v>
      </c>
      <c r="H4" s="84">
        <v>3121</v>
      </c>
      <c r="I4" s="85">
        <v>3011</v>
      </c>
      <c r="J4" s="86"/>
      <c r="K4" s="87"/>
      <c r="L4" s="88"/>
      <c r="M4" s="89"/>
      <c r="N4" s="87"/>
      <c r="O4" s="90"/>
      <c r="P4" s="86"/>
      <c r="Q4" s="87"/>
      <c r="R4" s="88"/>
    </row>
    <row r="5" spans="1:18" ht="18.5">
      <c r="A5" s="637"/>
      <c r="B5" s="91" t="s">
        <v>35</v>
      </c>
      <c r="C5" s="92" t="s">
        <v>36</v>
      </c>
      <c r="D5" s="93"/>
      <c r="E5" s="94"/>
      <c r="F5" s="95"/>
      <c r="G5" s="96"/>
      <c r="H5" s="97"/>
      <c r="I5" s="98"/>
      <c r="J5" s="99">
        <v>4690</v>
      </c>
      <c r="K5" s="100">
        <v>4493</v>
      </c>
      <c r="L5" s="101">
        <v>4316</v>
      </c>
      <c r="M5" s="102">
        <v>5014</v>
      </c>
      <c r="N5" s="100">
        <v>4817</v>
      </c>
      <c r="O5" s="101">
        <v>4640</v>
      </c>
      <c r="P5" s="93"/>
      <c r="Q5" s="94"/>
      <c r="R5" s="95"/>
    </row>
    <row r="6" spans="1:18" ht="37">
      <c r="A6" s="637"/>
      <c r="B6" s="91" t="s">
        <v>37</v>
      </c>
      <c r="C6" s="103" t="s">
        <v>38</v>
      </c>
      <c r="D6" s="93"/>
      <c r="E6" s="94"/>
      <c r="F6" s="95"/>
      <c r="G6" s="96"/>
      <c r="H6" s="97"/>
      <c r="I6" s="98"/>
      <c r="J6" s="104">
        <v>4890</v>
      </c>
      <c r="K6" s="100">
        <v>4693</v>
      </c>
      <c r="L6" s="101">
        <v>4516</v>
      </c>
      <c r="M6" s="102">
        <v>5214</v>
      </c>
      <c r="N6" s="100">
        <v>5017</v>
      </c>
      <c r="O6" s="101">
        <v>4840</v>
      </c>
      <c r="P6" s="93"/>
      <c r="Q6" s="94"/>
      <c r="R6" s="95"/>
    </row>
    <row r="7" spans="1:18" ht="18.5">
      <c r="A7" s="637"/>
      <c r="B7" s="91" t="s">
        <v>39</v>
      </c>
      <c r="C7" s="103" t="s">
        <v>40</v>
      </c>
      <c r="D7" s="93"/>
      <c r="E7" s="94"/>
      <c r="F7" s="95"/>
      <c r="G7" s="96"/>
      <c r="H7" s="97"/>
      <c r="I7" s="98"/>
      <c r="J7" s="104">
        <v>5512</v>
      </c>
      <c r="K7" s="100">
        <v>5315</v>
      </c>
      <c r="L7" s="101">
        <v>5138</v>
      </c>
      <c r="M7" s="102">
        <v>5836</v>
      </c>
      <c r="N7" s="100">
        <v>5639</v>
      </c>
      <c r="O7" s="101">
        <v>5462</v>
      </c>
      <c r="P7" s="93"/>
      <c r="Q7" s="94"/>
      <c r="R7" s="95"/>
    </row>
    <row r="8" spans="1:18" ht="18.5">
      <c r="A8" s="637"/>
      <c r="B8" s="91" t="s">
        <v>41</v>
      </c>
      <c r="C8" s="103" t="s">
        <v>42</v>
      </c>
      <c r="D8" s="93"/>
      <c r="E8" s="94"/>
      <c r="F8" s="95"/>
      <c r="G8" s="96"/>
      <c r="H8" s="97"/>
      <c r="I8" s="98"/>
      <c r="J8" s="104">
        <v>4697</v>
      </c>
      <c r="K8" s="100">
        <v>4500</v>
      </c>
      <c r="L8" s="101">
        <v>4302</v>
      </c>
      <c r="M8" s="102">
        <v>5021</v>
      </c>
      <c r="N8" s="100">
        <v>4824</v>
      </c>
      <c r="O8" s="101">
        <v>4626</v>
      </c>
      <c r="P8" s="105"/>
      <c r="Q8" s="106"/>
      <c r="R8" s="107"/>
    </row>
    <row r="9" spans="1:18" ht="37">
      <c r="A9" s="637"/>
      <c r="B9" s="91" t="s">
        <v>43</v>
      </c>
      <c r="C9" s="103" t="s">
        <v>44</v>
      </c>
      <c r="D9" s="93"/>
      <c r="E9" s="94"/>
      <c r="F9" s="95"/>
      <c r="G9" s="96"/>
      <c r="H9" s="94"/>
      <c r="I9" s="98"/>
      <c r="J9" s="104">
        <v>5265</v>
      </c>
      <c r="K9" s="100">
        <v>5068</v>
      </c>
      <c r="L9" s="101">
        <v>4870</v>
      </c>
      <c r="M9" s="102">
        <v>5589</v>
      </c>
      <c r="N9" s="100">
        <v>5392</v>
      </c>
      <c r="O9" s="101">
        <v>5194</v>
      </c>
      <c r="P9" s="105"/>
      <c r="Q9" s="106"/>
      <c r="R9" s="107"/>
    </row>
    <row r="10" spans="1:18" ht="37">
      <c r="A10" s="637"/>
      <c r="B10" s="91" t="s">
        <v>45</v>
      </c>
      <c r="C10" s="103" t="s">
        <v>46</v>
      </c>
      <c r="D10" s="93"/>
      <c r="E10" s="94"/>
      <c r="F10" s="95"/>
      <c r="G10" s="96"/>
      <c r="H10" s="94"/>
      <c r="I10" s="98"/>
      <c r="J10" s="104">
        <v>5845</v>
      </c>
      <c r="K10" s="100">
        <v>5648</v>
      </c>
      <c r="L10" s="101">
        <v>5450</v>
      </c>
      <c r="M10" s="102">
        <v>6169</v>
      </c>
      <c r="N10" s="100">
        <v>5972</v>
      </c>
      <c r="O10" s="101">
        <v>5774</v>
      </c>
      <c r="P10" s="105"/>
      <c r="Q10" s="106"/>
      <c r="R10" s="107"/>
    </row>
    <row r="11" spans="1:18" ht="19" thickBot="1">
      <c r="A11" s="637"/>
      <c r="B11" s="108" t="s">
        <v>47</v>
      </c>
      <c r="C11" s="109" t="s">
        <v>48</v>
      </c>
      <c r="D11" s="110"/>
      <c r="E11" s="111"/>
      <c r="F11" s="112"/>
      <c r="G11" s="113"/>
      <c r="H11" s="114"/>
      <c r="I11" s="115"/>
      <c r="J11" s="110"/>
      <c r="K11" s="111"/>
      <c r="L11" s="112"/>
      <c r="M11" s="113"/>
      <c r="N11" s="111"/>
      <c r="O11" s="116"/>
      <c r="P11" s="99">
        <v>4824</v>
      </c>
      <c r="Q11" s="117">
        <v>4631</v>
      </c>
      <c r="R11" s="118">
        <v>4450</v>
      </c>
    </row>
    <row r="12" spans="1:18" ht="19" thickBot="1">
      <c r="A12" s="70"/>
      <c r="B12" s="119"/>
      <c r="C12" s="120" t="s">
        <v>217</v>
      </c>
      <c r="D12" s="75" t="s">
        <v>30</v>
      </c>
      <c r="E12" s="76" t="s">
        <v>31</v>
      </c>
      <c r="F12" s="77" t="s">
        <v>32</v>
      </c>
      <c r="G12" s="78" t="s">
        <v>30</v>
      </c>
      <c r="H12" s="76" t="s">
        <v>31</v>
      </c>
      <c r="I12" s="78" t="s">
        <v>32</v>
      </c>
      <c r="J12" s="121" t="s">
        <v>30</v>
      </c>
      <c r="K12" s="122" t="s">
        <v>31</v>
      </c>
      <c r="L12" s="123" t="s">
        <v>32</v>
      </c>
      <c r="M12" s="124" t="s">
        <v>30</v>
      </c>
      <c r="N12" s="122" t="s">
        <v>31</v>
      </c>
      <c r="O12" s="124" t="s">
        <v>32</v>
      </c>
      <c r="P12" s="75" t="s">
        <v>30</v>
      </c>
      <c r="Q12" s="76" t="s">
        <v>31</v>
      </c>
      <c r="R12" s="77" t="s">
        <v>32</v>
      </c>
    </row>
    <row r="13" spans="1:18" ht="37">
      <c r="A13" s="638" t="s">
        <v>218</v>
      </c>
      <c r="B13" s="125" t="s">
        <v>219</v>
      </c>
      <c r="C13" s="126" t="s">
        <v>50</v>
      </c>
      <c r="D13" s="127"/>
      <c r="E13" s="128"/>
      <c r="F13" s="129"/>
      <c r="G13" s="130"/>
      <c r="H13" s="128"/>
      <c r="I13" s="131"/>
      <c r="J13" s="81">
        <v>447</v>
      </c>
      <c r="K13" s="132">
        <v>426</v>
      </c>
      <c r="L13" s="133">
        <v>406</v>
      </c>
      <c r="M13" s="134">
        <v>447</v>
      </c>
      <c r="N13" s="132">
        <v>426</v>
      </c>
      <c r="O13" s="133">
        <v>406</v>
      </c>
      <c r="P13" s="135"/>
      <c r="Q13" s="136"/>
      <c r="R13" s="137"/>
    </row>
    <row r="14" spans="1:18" ht="18.5">
      <c r="A14" s="639"/>
      <c r="B14" s="138" t="s">
        <v>220</v>
      </c>
      <c r="C14" s="139" t="s">
        <v>52</v>
      </c>
      <c r="D14" s="140"/>
      <c r="E14" s="141"/>
      <c r="F14" s="142"/>
      <c r="G14" s="143"/>
      <c r="H14" s="141"/>
      <c r="I14" s="144"/>
      <c r="J14" s="104">
        <v>478</v>
      </c>
      <c r="K14" s="100">
        <v>447</v>
      </c>
      <c r="L14" s="101">
        <v>426</v>
      </c>
      <c r="M14" s="102">
        <v>478</v>
      </c>
      <c r="N14" s="100">
        <v>447</v>
      </c>
      <c r="O14" s="101">
        <v>426</v>
      </c>
      <c r="P14" s="145"/>
      <c r="Q14" s="146"/>
      <c r="R14" s="147"/>
    </row>
    <row r="15" spans="1:18" ht="37">
      <c r="A15" s="639"/>
      <c r="B15" s="138" t="s">
        <v>221</v>
      </c>
      <c r="C15" s="139" t="s">
        <v>222</v>
      </c>
      <c r="D15" s="140"/>
      <c r="E15" s="141"/>
      <c r="F15" s="142"/>
      <c r="G15" s="143"/>
      <c r="H15" s="141"/>
      <c r="I15" s="144"/>
      <c r="J15" s="104">
        <v>2760</v>
      </c>
      <c r="K15" s="100">
        <v>2622</v>
      </c>
      <c r="L15" s="101">
        <v>2484</v>
      </c>
      <c r="M15" s="102">
        <v>2760</v>
      </c>
      <c r="N15" s="100">
        <v>2622</v>
      </c>
      <c r="O15" s="101">
        <v>2484</v>
      </c>
      <c r="P15" s="104">
        <v>219</v>
      </c>
      <c r="Q15" s="100">
        <v>207</v>
      </c>
      <c r="R15" s="101">
        <v>196</v>
      </c>
    </row>
    <row r="16" spans="1:18" ht="18.5">
      <c r="A16" s="639"/>
      <c r="B16" s="138" t="s">
        <v>223</v>
      </c>
      <c r="C16" s="148" t="s">
        <v>224</v>
      </c>
      <c r="D16" s="149"/>
      <c r="E16" s="150"/>
      <c r="F16" s="151"/>
      <c r="G16" s="152"/>
      <c r="H16" s="150"/>
      <c r="I16" s="153"/>
      <c r="J16" s="104">
        <v>4025</v>
      </c>
      <c r="K16" s="100">
        <v>2818</v>
      </c>
      <c r="L16" s="101">
        <v>1863</v>
      </c>
      <c r="M16" s="102">
        <v>4025</v>
      </c>
      <c r="N16" s="100">
        <v>2818</v>
      </c>
      <c r="O16" s="101">
        <v>1863</v>
      </c>
      <c r="P16" s="104">
        <v>4025</v>
      </c>
      <c r="Q16" s="100">
        <v>2818</v>
      </c>
      <c r="R16" s="101">
        <v>1863</v>
      </c>
    </row>
    <row r="17" spans="1:18" ht="37.5" thickBot="1">
      <c r="A17" s="640"/>
      <c r="B17" s="154" t="s">
        <v>55</v>
      </c>
      <c r="C17" s="155" t="s">
        <v>225</v>
      </c>
      <c r="D17" s="156" t="s">
        <v>226</v>
      </c>
      <c r="E17" s="157" t="s">
        <v>56</v>
      </c>
      <c r="F17" s="158">
        <v>0.16</v>
      </c>
      <c r="G17" s="159" t="s">
        <v>226</v>
      </c>
      <c r="H17" s="157" t="s">
        <v>56</v>
      </c>
      <c r="I17" s="160">
        <v>0.16</v>
      </c>
      <c r="J17" s="156" t="s">
        <v>226</v>
      </c>
      <c r="K17" s="157" t="s">
        <v>56</v>
      </c>
      <c r="L17" s="158">
        <v>0.16</v>
      </c>
      <c r="M17" s="159" t="s">
        <v>226</v>
      </c>
      <c r="N17" s="157" t="s">
        <v>56</v>
      </c>
      <c r="O17" s="158">
        <v>0.16</v>
      </c>
      <c r="P17" s="159" t="s">
        <v>226</v>
      </c>
      <c r="Q17" s="157" t="s">
        <v>56</v>
      </c>
      <c r="R17" s="158">
        <v>0.16</v>
      </c>
    </row>
    <row r="18" spans="1:18">
      <c r="A18" t="s">
        <v>227</v>
      </c>
      <c r="D18" t="s">
        <v>228</v>
      </c>
      <c r="L18" t="s">
        <v>229</v>
      </c>
    </row>
  </sheetData>
  <mergeCells count="13">
    <mergeCell ref="P2:R2"/>
    <mergeCell ref="P1:R1"/>
    <mergeCell ref="J1:L1"/>
    <mergeCell ref="M1:O1"/>
    <mergeCell ref="D2:F2"/>
    <mergeCell ref="G2:I2"/>
    <mergeCell ref="J2:L2"/>
    <mergeCell ref="M2:O2"/>
    <mergeCell ref="A4:A11"/>
    <mergeCell ref="A13:A17"/>
    <mergeCell ref="A1:C1"/>
    <mergeCell ref="D1:F1"/>
    <mergeCell ref="G1:I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20"/>
  <sheetViews>
    <sheetView topLeftCell="A5" zoomScale="80" zoomScaleNormal="80" workbookViewId="0">
      <selection activeCell="C26" sqref="C26"/>
    </sheetView>
  </sheetViews>
  <sheetFormatPr baseColWidth="10" defaultRowHeight="14.5"/>
  <cols>
    <col min="1" max="1" width="27" customWidth="1"/>
    <col min="3" max="3" width="52.54296875" customWidth="1"/>
  </cols>
  <sheetData>
    <row r="1" spans="1:17" ht="19" thickBot="1">
      <c r="A1" s="641" t="s">
        <v>248</v>
      </c>
      <c r="B1" s="662"/>
      <c r="C1" s="662"/>
      <c r="D1" s="663" t="s">
        <v>249</v>
      </c>
      <c r="E1" s="643" t="s">
        <v>250</v>
      </c>
      <c r="F1" s="644"/>
      <c r="G1" s="645"/>
      <c r="H1" s="644" t="s">
        <v>22</v>
      </c>
      <c r="I1" s="644"/>
      <c r="J1" s="644"/>
      <c r="K1" s="663" t="s">
        <v>249</v>
      </c>
      <c r="L1" s="643" t="s">
        <v>250</v>
      </c>
      <c r="M1" s="644"/>
      <c r="N1" s="645"/>
      <c r="O1" s="644" t="s">
        <v>22</v>
      </c>
      <c r="P1" s="644"/>
      <c r="Q1" s="645"/>
    </row>
    <row r="2" spans="1:17" ht="19" thickBot="1">
      <c r="A2" s="655" t="s">
        <v>251</v>
      </c>
      <c r="B2" s="656"/>
      <c r="C2" s="656"/>
      <c r="D2" s="664"/>
      <c r="E2" s="659" t="s">
        <v>252</v>
      </c>
      <c r="F2" s="660"/>
      <c r="G2" s="660"/>
      <c r="H2" s="660"/>
      <c r="I2" s="660"/>
      <c r="J2" s="660"/>
      <c r="K2" s="664"/>
      <c r="L2" s="659" t="s">
        <v>252</v>
      </c>
      <c r="M2" s="660"/>
      <c r="N2" s="660"/>
      <c r="O2" s="660"/>
      <c r="P2" s="660"/>
      <c r="Q2" s="661"/>
    </row>
    <row r="3" spans="1:17" ht="19" thickBot="1">
      <c r="A3" s="657"/>
      <c r="B3" s="658"/>
      <c r="C3" s="658"/>
      <c r="D3" s="665"/>
      <c r="E3" s="659" t="s">
        <v>253</v>
      </c>
      <c r="F3" s="660"/>
      <c r="G3" s="661"/>
      <c r="H3" s="659" t="s">
        <v>254</v>
      </c>
      <c r="I3" s="660"/>
      <c r="J3" s="660"/>
      <c r="K3" s="665"/>
      <c r="L3" s="659" t="s">
        <v>253</v>
      </c>
      <c r="M3" s="660"/>
      <c r="N3" s="661"/>
      <c r="O3" s="659" t="s">
        <v>254</v>
      </c>
      <c r="P3" s="660"/>
      <c r="Q3" s="661"/>
    </row>
    <row r="4" spans="1:17" ht="19" thickBot="1">
      <c r="A4" s="72"/>
      <c r="B4" s="164" t="s">
        <v>29</v>
      </c>
      <c r="C4" s="74" t="s">
        <v>215</v>
      </c>
      <c r="D4" s="165">
        <v>16</v>
      </c>
      <c r="E4" s="75" t="s">
        <v>30</v>
      </c>
      <c r="F4" s="76" t="s">
        <v>31</v>
      </c>
      <c r="G4" s="77" t="s">
        <v>32</v>
      </c>
      <c r="H4" s="75" t="s">
        <v>30</v>
      </c>
      <c r="I4" s="76" t="s">
        <v>31</v>
      </c>
      <c r="J4" s="78" t="s">
        <v>32</v>
      </c>
      <c r="K4" s="165">
        <v>9</v>
      </c>
      <c r="L4" s="75" t="s">
        <v>30</v>
      </c>
      <c r="M4" s="76" t="s">
        <v>31</v>
      </c>
      <c r="N4" s="77" t="s">
        <v>32</v>
      </c>
      <c r="O4" s="75" t="s">
        <v>30</v>
      </c>
      <c r="P4" s="76" t="s">
        <v>31</v>
      </c>
      <c r="Q4" s="77" t="s">
        <v>32</v>
      </c>
    </row>
    <row r="5" spans="1:17" ht="18.5">
      <c r="A5" s="652" t="s">
        <v>255</v>
      </c>
      <c r="B5" s="166" t="s">
        <v>33</v>
      </c>
      <c r="C5" s="167" t="s">
        <v>34</v>
      </c>
      <c r="D5" s="168"/>
      <c r="E5" s="169"/>
      <c r="F5" s="170"/>
      <c r="G5" s="171"/>
      <c r="H5" s="172"/>
      <c r="I5" s="170"/>
      <c r="J5" s="173"/>
      <c r="K5" s="174"/>
      <c r="L5" s="169"/>
      <c r="M5" s="170"/>
      <c r="N5" s="171"/>
      <c r="O5" s="172"/>
      <c r="P5" s="170"/>
      <c r="Q5" s="171"/>
    </row>
    <row r="6" spans="1:17" ht="18.5">
      <c r="A6" s="637"/>
      <c r="B6" s="91" t="s">
        <v>35</v>
      </c>
      <c r="C6" s="92" t="s">
        <v>36</v>
      </c>
      <c r="D6" s="175">
        <v>1.0200000000000001E-2</v>
      </c>
      <c r="E6" s="99">
        <v>48</v>
      </c>
      <c r="F6" s="100">
        <v>46</v>
      </c>
      <c r="G6" s="101">
        <v>44</v>
      </c>
      <c r="H6" s="102">
        <v>51</v>
      </c>
      <c r="I6" s="100">
        <v>49</v>
      </c>
      <c r="J6" s="176">
        <v>47</v>
      </c>
      <c r="K6" s="177">
        <v>5.7999999999999996E-3</v>
      </c>
      <c r="L6" s="99">
        <v>27</v>
      </c>
      <c r="M6" s="100">
        <v>26</v>
      </c>
      <c r="N6" s="101">
        <v>25</v>
      </c>
      <c r="O6" s="102">
        <v>29</v>
      </c>
      <c r="P6" s="100">
        <v>28</v>
      </c>
      <c r="Q6" s="101">
        <v>27</v>
      </c>
    </row>
    <row r="7" spans="1:17" ht="37">
      <c r="A7" s="637"/>
      <c r="B7" s="91" t="s">
        <v>37</v>
      </c>
      <c r="C7" s="103" t="s">
        <v>38</v>
      </c>
      <c r="D7" s="175">
        <v>1.04E-2</v>
      </c>
      <c r="E7" s="104">
        <v>51</v>
      </c>
      <c r="F7" s="100">
        <v>49</v>
      </c>
      <c r="G7" s="101">
        <v>47</v>
      </c>
      <c r="H7" s="102">
        <v>54</v>
      </c>
      <c r="I7" s="100">
        <v>52</v>
      </c>
      <c r="J7" s="176">
        <v>50</v>
      </c>
      <c r="K7" s="177">
        <v>5.7999999999999996E-3</v>
      </c>
      <c r="L7" s="104">
        <v>28</v>
      </c>
      <c r="M7" s="100">
        <v>27</v>
      </c>
      <c r="N7" s="101">
        <v>26</v>
      </c>
      <c r="O7" s="102">
        <v>30</v>
      </c>
      <c r="P7" s="100">
        <v>29</v>
      </c>
      <c r="Q7" s="101">
        <v>28</v>
      </c>
    </row>
    <row r="8" spans="1:17" ht="18.5">
      <c r="A8" s="637"/>
      <c r="B8" s="91" t="s">
        <v>39</v>
      </c>
      <c r="C8" s="103" t="s">
        <v>40</v>
      </c>
      <c r="D8" s="175">
        <v>1.06E-2</v>
      </c>
      <c r="E8" s="104">
        <v>58</v>
      </c>
      <c r="F8" s="100">
        <v>56</v>
      </c>
      <c r="G8" s="101">
        <v>54</v>
      </c>
      <c r="H8" s="102">
        <v>62</v>
      </c>
      <c r="I8" s="100">
        <v>60</v>
      </c>
      <c r="J8" s="176">
        <v>58</v>
      </c>
      <c r="K8" s="177">
        <v>6.0000000000000001E-3</v>
      </c>
      <c r="L8" s="104">
        <v>33</v>
      </c>
      <c r="M8" s="100">
        <v>32</v>
      </c>
      <c r="N8" s="101">
        <v>31</v>
      </c>
      <c r="O8" s="102">
        <v>35</v>
      </c>
      <c r="P8" s="100">
        <v>34</v>
      </c>
      <c r="Q8" s="101">
        <v>33</v>
      </c>
    </row>
    <row r="9" spans="1:17" ht="18.5">
      <c r="A9" s="637"/>
      <c r="B9" s="91" t="s">
        <v>41</v>
      </c>
      <c r="C9" s="103" t="s">
        <v>42</v>
      </c>
      <c r="D9" s="175">
        <v>1.0200000000000001E-2</v>
      </c>
      <c r="E9" s="99">
        <v>48</v>
      </c>
      <c r="F9" s="100">
        <v>46</v>
      </c>
      <c r="G9" s="101">
        <v>44</v>
      </c>
      <c r="H9" s="102">
        <v>51</v>
      </c>
      <c r="I9" s="100">
        <v>49</v>
      </c>
      <c r="J9" s="176">
        <v>47</v>
      </c>
      <c r="K9" s="177">
        <v>5.7999999999999996E-3</v>
      </c>
      <c r="L9" s="99">
        <v>27</v>
      </c>
      <c r="M9" s="100">
        <v>26</v>
      </c>
      <c r="N9" s="101">
        <v>25</v>
      </c>
      <c r="O9" s="102">
        <v>29</v>
      </c>
      <c r="P9" s="100">
        <v>28</v>
      </c>
      <c r="Q9" s="101">
        <v>27</v>
      </c>
    </row>
    <row r="10" spans="1:17" ht="37">
      <c r="A10" s="637"/>
      <c r="B10" s="91" t="s">
        <v>43</v>
      </c>
      <c r="C10" s="103" t="s">
        <v>44</v>
      </c>
      <c r="D10" s="175">
        <v>1.0500000000000001E-2</v>
      </c>
      <c r="E10" s="104">
        <v>55</v>
      </c>
      <c r="F10" s="100">
        <v>53</v>
      </c>
      <c r="G10" s="101">
        <v>51</v>
      </c>
      <c r="H10" s="102">
        <v>59</v>
      </c>
      <c r="I10" s="100">
        <v>57</v>
      </c>
      <c r="J10" s="176">
        <v>55</v>
      </c>
      <c r="K10" s="177">
        <v>5.8999999999999999E-3</v>
      </c>
      <c r="L10" s="104">
        <v>31</v>
      </c>
      <c r="M10" s="100">
        <v>30</v>
      </c>
      <c r="N10" s="101">
        <v>29</v>
      </c>
      <c r="O10" s="102">
        <v>33</v>
      </c>
      <c r="P10" s="100">
        <v>32</v>
      </c>
      <c r="Q10" s="101">
        <v>31</v>
      </c>
    </row>
    <row r="11" spans="1:17" ht="37">
      <c r="A11" s="637"/>
      <c r="B11" s="91" t="s">
        <v>45</v>
      </c>
      <c r="C11" s="103" t="s">
        <v>46</v>
      </c>
      <c r="D11" s="175">
        <v>1.0800000000000001E-2</v>
      </c>
      <c r="E11" s="104">
        <v>63</v>
      </c>
      <c r="F11" s="100">
        <v>61</v>
      </c>
      <c r="G11" s="101">
        <v>59</v>
      </c>
      <c r="H11" s="102">
        <v>67</v>
      </c>
      <c r="I11" s="100">
        <v>64</v>
      </c>
      <c r="J11" s="176">
        <v>62</v>
      </c>
      <c r="K11" s="177">
        <v>6.0000000000000001E-3</v>
      </c>
      <c r="L11" s="104">
        <v>35</v>
      </c>
      <c r="M11" s="100">
        <v>34</v>
      </c>
      <c r="N11" s="101">
        <v>33</v>
      </c>
      <c r="O11" s="102">
        <v>37</v>
      </c>
      <c r="P11" s="100">
        <v>36</v>
      </c>
      <c r="Q11" s="101">
        <v>35</v>
      </c>
    </row>
    <row r="12" spans="1:17" ht="18.5">
      <c r="A12" s="653"/>
      <c r="B12" s="91" t="s">
        <v>47</v>
      </c>
      <c r="C12" s="103" t="s">
        <v>48</v>
      </c>
      <c r="D12" s="175"/>
      <c r="E12" s="104"/>
      <c r="F12" s="100"/>
      <c r="G12" s="101"/>
      <c r="H12" s="102"/>
      <c r="I12" s="100"/>
      <c r="J12" s="176"/>
      <c r="K12" s="177"/>
      <c r="L12" s="104"/>
      <c r="M12" s="100"/>
      <c r="N12" s="101"/>
      <c r="O12" s="102"/>
      <c r="P12" s="100"/>
      <c r="Q12" s="101"/>
    </row>
    <row r="13" spans="1:17" ht="37.5" thickBot="1">
      <c r="A13" s="178" t="s">
        <v>256</v>
      </c>
      <c r="B13" s="91" t="s">
        <v>257</v>
      </c>
      <c r="C13" s="103" t="s">
        <v>258</v>
      </c>
      <c r="D13" s="175"/>
      <c r="E13" s="179">
        <v>1.05</v>
      </c>
      <c r="F13" s="180">
        <v>1</v>
      </c>
      <c r="G13" s="181">
        <v>0.95</v>
      </c>
      <c r="H13" s="182">
        <v>1.1399999999999999</v>
      </c>
      <c r="I13" s="180">
        <v>1.0900000000000001</v>
      </c>
      <c r="J13" s="183">
        <v>1.04</v>
      </c>
      <c r="K13" s="184"/>
      <c r="L13" s="179">
        <v>1.05</v>
      </c>
      <c r="M13" s="180">
        <v>1</v>
      </c>
      <c r="N13" s="181">
        <v>0.95</v>
      </c>
      <c r="O13" s="182">
        <v>1.1399999999999999</v>
      </c>
      <c r="P13" s="180">
        <v>1.0900000000000001</v>
      </c>
      <c r="Q13" s="181">
        <v>1.04</v>
      </c>
    </row>
    <row r="14" spans="1:17" ht="19" thickBot="1">
      <c r="A14" s="185"/>
      <c r="B14" s="71"/>
      <c r="C14" s="186" t="s">
        <v>217</v>
      </c>
      <c r="D14" s="187">
        <v>16</v>
      </c>
      <c r="E14" s="75" t="s">
        <v>30</v>
      </c>
      <c r="F14" s="76" t="s">
        <v>31</v>
      </c>
      <c r="G14" s="77" t="s">
        <v>32</v>
      </c>
      <c r="H14" s="78" t="s">
        <v>30</v>
      </c>
      <c r="I14" s="76" t="s">
        <v>31</v>
      </c>
      <c r="J14" s="78" t="s">
        <v>32</v>
      </c>
      <c r="K14" s="187">
        <v>9</v>
      </c>
      <c r="L14" s="75" t="s">
        <v>30</v>
      </c>
      <c r="M14" s="76" t="s">
        <v>31</v>
      </c>
      <c r="N14" s="77" t="s">
        <v>32</v>
      </c>
      <c r="O14" s="78" t="s">
        <v>30</v>
      </c>
      <c r="P14" s="76" t="s">
        <v>31</v>
      </c>
      <c r="Q14" s="77" t="s">
        <v>32</v>
      </c>
    </row>
    <row r="15" spans="1:17" ht="37">
      <c r="A15" s="652" t="s">
        <v>259</v>
      </c>
      <c r="B15" s="125" t="s">
        <v>219</v>
      </c>
      <c r="C15" s="126" t="s">
        <v>260</v>
      </c>
      <c r="D15" s="175">
        <v>1.23E-2</v>
      </c>
      <c r="E15" s="188">
        <v>5.5</v>
      </c>
      <c r="F15" s="189">
        <v>5.2</v>
      </c>
      <c r="G15" s="190">
        <v>5</v>
      </c>
      <c r="H15" s="191">
        <v>5.5</v>
      </c>
      <c r="I15" s="189">
        <v>5.2</v>
      </c>
      <c r="J15" s="192">
        <v>5</v>
      </c>
      <c r="K15" s="177">
        <v>7.0000000000000001E-3</v>
      </c>
      <c r="L15" s="193">
        <v>3.1</v>
      </c>
      <c r="M15" s="194">
        <v>3</v>
      </c>
      <c r="N15" s="195">
        <v>2.8</v>
      </c>
      <c r="O15" s="196">
        <v>3.1</v>
      </c>
      <c r="P15" s="194">
        <v>3</v>
      </c>
      <c r="Q15" s="195">
        <v>2.8</v>
      </c>
    </row>
    <row r="16" spans="1:17" ht="18.5">
      <c r="A16" s="637"/>
      <c r="B16" s="138" t="s">
        <v>220</v>
      </c>
      <c r="C16" s="139" t="s">
        <v>261</v>
      </c>
      <c r="D16" s="175">
        <v>1.17E-2</v>
      </c>
      <c r="E16" s="197">
        <v>5.6</v>
      </c>
      <c r="F16" s="198">
        <v>5.2</v>
      </c>
      <c r="G16" s="199">
        <v>5</v>
      </c>
      <c r="H16" s="200">
        <v>5.6</v>
      </c>
      <c r="I16" s="198">
        <v>5.2</v>
      </c>
      <c r="J16" s="201">
        <v>5</v>
      </c>
      <c r="K16" s="177">
        <v>7.0000000000000001E-3</v>
      </c>
      <c r="L16" s="202">
        <v>3.3</v>
      </c>
      <c r="M16" s="203">
        <v>3.1</v>
      </c>
      <c r="N16" s="204">
        <v>3</v>
      </c>
      <c r="O16" s="205">
        <v>3.3</v>
      </c>
      <c r="P16" s="203">
        <v>3.1</v>
      </c>
      <c r="Q16" s="204">
        <v>3</v>
      </c>
    </row>
    <row r="17" spans="1:17" ht="37">
      <c r="A17" s="637"/>
      <c r="B17" s="138" t="s">
        <v>221</v>
      </c>
      <c r="C17" s="139" t="s">
        <v>262</v>
      </c>
      <c r="D17" s="175">
        <v>1.2500000000000001E-2</v>
      </c>
      <c r="E17" s="197">
        <v>34.5</v>
      </c>
      <c r="F17" s="198">
        <v>32.799999999999997</v>
      </c>
      <c r="G17" s="199">
        <v>31.1</v>
      </c>
      <c r="H17" s="200">
        <v>34.5</v>
      </c>
      <c r="I17" s="198">
        <v>32.799999999999997</v>
      </c>
      <c r="J17" s="201">
        <v>31.1</v>
      </c>
      <c r="K17" s="177">
        <v>7.0000000000000001E-3</v>
      </c>
      <c r="L17" s="202">
        <v>19.3</v>
      </c>
      <c r="M17" s="203">
        <v>18.399999999999999</v>
      </c>
      <c r="N17" s="204">
        <v>17.399999999999999</v>
      </c>
      <c r="O17" s="205">
        <v>19.3</v>
      </c>
      <c r="P17" s="203">
        <v>18.399999999999999</v>
      </c>
      <c r="Q17" s="204">
        <v>17.399999999999999</v>
      </c>
    </row>
    <row r="18" spans="1:17" ht="55.5">
      <c r="A18" s="637"/>
      <c r="B18" s="138" t="s">
        <v>223</v>
      </c>
      <c r="C18" s="148" t="s">
        <v>263</v>
      </c>
      <c r="D18" s="206"/>
      <c r="E18" s="207">
        <v>4025</v>
      </c>
      <c r="F18" s="208">
        <v>2818</v>
      </c>
      <c r="G18" s="209">
        <v>1863</v>
      </c>
      <c r="H18" s="210">
        <v>4025</v>
      </c>
      <c r="I18" s="208">
        <v>2818</v>
      </c>
      <c r="J18" s="211">
        <v>1863</v>
      </c>
      <c r="K18" s="212"/>
      <c r="L18" s="207">
        <v>4025</v>
      </c>
      <c r="M18" s="208">
        <v>2818</v>
      </c>
      <c r="N18" s="209">
        <v>1863</v>
      </c>
      <c r="O18" s="210">
        <v>4025</v>
      </c>
      <c r="P18" s="208">
        <v>2818</v>
      </c>
      <c r="Q18" s="209">
        <v>1863</v>
      </c>
    </row>
    <row r="19" spans="1:17" ht="37.5" thickBot="1">
      <c r="A19" s="654"/>
      <c r="B19" s="154" t="s">
        <v>55</v>
      </c>
      <c r="C19" s="155" t="s">
        <v>225</v>
      </c>
      <c r="D19" s="213"/>
      <c r="E19" s="156" t="s">
        <v>264</v>
      </c>
      <c r="F19" s="157" t="s">
        <v>57</v>
      </c>
      <c r="G19" s="158">
        <v>0.16</v>
      </c>
      <c r="H19" s="159" t="s">
        <v>264</v>
      </c>
      <c r="I19" s="157" t="s">
        <v>57</v>
      </c>
      <c r="J19" s="160">
        <v>0.16</v>
      </c>
      <c r="K19" s="214"/>
      <c r="L19" s="156" t="s">
        <v>264</v>
      </c>
      <c r="M19" s="157" t="s">
        <v>57</v>
      </c>
      <c r="N19" s="158">
        <v>0.16</v>
      </c>
      <c r="O19" s="159" t="s">
        <v>264</v>
      </c>
      <c r="P19" s="157" t="s">
        <v>57</v>
      </c>
      <c r="Q19" s="158">
        <v>0.16</v>
      </c>
    </row>
    <row r="20" spans="1:17">
      <c r="A20" t="s">
        <v>227</v>
      </c>
      <c r="D20" t="s">
        <v>228</v>
      </c>
      <c r="L20" t="s">
        <v>229</v>
      </c>
    </row>
  </sheetData>
  <mergeCells count="16">
    <mergeCell ref="A5:A12"/>
    <mergeCell ref="A15:A19"/>
    <mergeCell ref="O1:Q1"/>
    <mergeCell ref="A2:C3"/>
    <mergeCell ref="E2:J2"/>
    <mergeCell ref="L2:Q2"/>
    <mergeCell ref="E3:G3"/>
    <mergeCell ref="H3:J3"/>
    <mergeCell ref="L3:N3"/>
    <mergeCell ref="O3:Q3"/>
    <mergeCell ref="A1:C1"/>
    <mergeCell ref="D1:D3"/>
    <mergeCell ref="E1:G1"/>
    <mergeCell ref="H1:J1"/>
    <mergeCell ref="K1:K3"/>
    <mergeCell ref="L1:N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9"/>
  <sheetViews>
    <sheetView zoomScale="60" zoomScaleNormal="60" workbookViewId="0">
      <selection activeCell="F12" sqref="F12"/>
    </sheetView>
  </sheetViews>
  <sheetFormatPr baseColWidth="10" defaultRowHeight="14.5"/>
  <cols>
    <col min="2" max="2" width="23.81640625" bestFit="1" customWidth="1"/>
    <col min="3" max="3" width="32.54296875" bestFit="1" customWidth="1"/>
    <col min="4" max="4" width="26.81640625" bestFit="1" customWidth="1"/>
    <col min="5" max="5" width="21.54296875" bestFit="1" customWidth="1"/>
    <col min="6" max="6" width="27.81640625" bestFit="1" customWidth="1"/>
    <col min="7" max="7" width="34" bestFit="1" customWidth="1"/>
    <col min="8" max="8" width="29.1796875" bestFit="1" customWidth="1"/>
    <col min="9" max="9" width="25.453125" bestFit="1" customWidth="1"/>
    <col min="10" max="10" width="25.1796875" bestFit="1" customWidth="1"/>
    <col min="11" max="11" width="32.54296875" bestFit="1" customWidth="1"/>
    <col min="12" max="12" width="32.54296875" customWidth="1"/>
    <col min="13" max="13" width="33.81640625" bestFit="1" customWidth="1"/>
  </cols>
  <sheetData>
    <row r="1" spans="1:13">
      <c r="A1" t="s">
        <v>488</v>
      </c>
      <c r="B1" t="s">
        <v>489</v>
      </c>
      <c r="C1" t="s">
        <v>490</v>
      </c>
      <c r="D1" t="s">
        <v>491</v>
      </c>
      <c r="E1" t="s">
        <v>492</v>
      </c>
      <c r="F1" t="s">
        <v>493</v>
      </c>
      <c r="G1" t="s">
        <v>494</v>
      </c>
      <c r="H1" t="s">
        <v>495</v>
      </c>
      <c r="I1" t="s">
        <v>496</v>
      </c>
      <c r="J1" t="s">
        <v>497</v>
      </c>
      <c r="K1" t="s">
        <v>498</v>
      </c>
      <c r="L1" t="s">
        <v>500</v>
      </c>
      <c r="M1" t="s">
        <v>499</v>
      </c>
    </row>
    <row r="2" spans="1:13">
      <c r="A2" t="s">
        <v>3</v>
      </c>
      <c r="B2">
        <f>'Demande d''aide'!D111</f>
        <v>0</v>
      </c>
      <c r="C2">
        <f>'Demande d''aide'!D112+'Demande d''aide'!D113</f>
        <v>0</v>
      </c>
      <c r="D2" s="245">
        <f>'Demande d''aide'!D114+'Demande d''aide'!D115</f>
        <v>0</v>
      </c>
      <c r="E2">
        <f>'Demande d''aide'!D118</f>
        <v>0</v>
      </c>
      <c r="F2">
        <f>'Demande d''aide'!D120</f>
        <v>0</v>
      </c>
      <c r="G2">
        <f>'Demande d''aide'!D121</f>
        <v>0</v>
      </c>
      <c r="H2">
        <f>'Demande d''aide'!D122</f>
        <v>0</v>
      </c>
      <c r="I2">
        <f>'Demande d''aide'!D123</f>
        <v>0</v>
      </c>
      <c r="J2">
        <f>'Demande d''aide'!D129</f>
        <v>0</v>
      </c>
      <c r="K2">
        <f>'Demande d''aide'!D131</f>
        <v>0</v>
      </c>
      <c r="L2">
        <f>'Demande d''aide'!D130</f>
        <v>0</v>
      </c>
      <c r="M2">
        <f>'Demande d''aide'!D132</f>
        <v>0</v>
      </c>
    </row>
    <row r="3" spans="1:13">
      <c r="A3" t="s">
        <v>4</v>
      </c>
      <c r="B3">
        <f>'Demande d''aide'!E111</f>
        <v>0</v>
      </c>
      <c r="C3">
        <f>'Demande d''aide'!E112+'Demande d''aide'!E113</f>
        <v>0</v>
      </c>
      <c r="D3" s="245">
        <f>'Demande d''aide'!E114+'Demande d''aide'!E115</f>
        <v>0</v>
      </c>
      <c r="E3">
        <f>'Demande d''aide'!E118</f>
        <v>0</v>
      </c>
      <c r="F3">
        <f>'Demande d''aide'!E120</f>
        <v>0</v>
      </c>
      <c r="G3">
        <f>'Demande d''aide'!E121</f>
        <v>0</v>
      </c>
      <c r="H3">
        <f>'Demande d''aide'!E122</f>
        <v>0</v>
      </c>
      <c r="I3">
        <f>'Demande d''aide'!E123</f>
        <v>0</v>
      </c>
      <c r="J3">
        <f>'Demande d''aide'!E129</f>
        <v>0</v>
      </c>
      <c r="K3">
        <f>'Demande d''aide'!E131</f>
        <v>0</v>
      </c>
      <c r="L3">
        <f>'Demande d''aide'!F130</f>
        <v>0</v>
      </c>
      <c r="M3">
        <f>'Demande d''aide'!E132</f>
        <v>0</v>
      </c>
    </row>
    <row r="4" spans="1:13">
      <c r="A4" t="s">
        <v>5</v>
      </c>
      <c r="B4">
        <f>'Demande d''aide'!F111</f>
        <v>0</v>
      </c>
      <c r="C4">
        <f>'Demande d''aide'!F112+'Demande d''aide'!F113</f>
        <v>0</v>
      </c>
      <c r="D4" s="245">
        <f>'Demande d''aide'!F114+'Demande d''aide'!F115</f>
        <v>0</v>
      </c>
      <c r="E4">
        <f>'Demande d''aide'!F118</f>
        <v>0</v>
      </c>
      <c r="F4">
        <f>'Demande d''aide'!F120</f>
        <v>0</v>
      </c>
      <c r="G4">
        <f>'Demande d''aide'!F121</f>
        <v>0</v>
      </c>
      <c r="H4">
        <f>'Demande d''aide'!F122</f>
        <v>0</v>
      </c>
      <c r="I4">
        <f>'Demande d''aide'!F123</f>
        <v>0</v>
      </c>
      <c r="J4">
        <f>'Demande d''aide'!F129</f>
        <v>0</v>
      </c>
      <c r="K4">
        <f>'Demande d''aide'!F131</f>
        <v>0</v>
      </c>
      <c r="L4">
        <f>'Demande d''aide'!G130</f>
        <v>0</v>
      </c>
      <c r="M4">
        <f>'Demande d''aide'!F132</f>
        <v>0</v>
      </c>
    </row>
    <row r="5" spans="1:13">
      <c r="A5" t="s">
        <v>6</v>
      </c>
      <c r="B5">
        <f>'Demande d''aide'!G111</f>
        <v>0</v>
      </c>
      <c r="C5">
        <f>'Demande d''aide'!G112+'Demande d''aide'!G113</f>
        <v>0</v>
      </c>
      <c r="D5" s="245">
        <f>'Demande d''aide'!G114+'Demande d''aide'!G115</f>
        <v>0</v>
      </c>
      <c r="E5">
        <f>'Demande d''aide'!G118</f>
        <v>0</v>
      </c>
      <c r="F5">
        <f>'Demande d''aide'!G120</f>
        <v>0</v>
      </c>
      <c r="G5">
        <f>'Demande d''aide'!G121</f>
        <v>0</v>
      </c>
      <c r="H5">
        <f>'Demande d''aide'!G122</f>
        <v>0</v>
      </c>
      <c r="I5">
        <f>'Demande d''aide'!G123</f>
        <v>0</v>
      </c>
      <c r="J5">
        <f>'Demande d''aide'!G129</f>
        <v>0</v>
      </c>
      <c r="K5">
        <f>'Demande d''aide'!G131</f>
        <v>0</v>
      </c>
      <c r="L5">
        <f>'Demande d''aide'!H130</f>
        <v>0</v>
      </c>
      <c r="M5">
        <f>'Demande d''aide'!G132</f>
        <v>0</v>
      </c>
    </row>
    <row r="6" spans="1:13">
      <c r="A6" t="s">
        <v>7</v>
      </c>
      <c r="B6">
        <f>'Demande d''aide'!H111</f>
        <v>0</v>
      </c>
      <c r="C6">
        <f>'Demande d''aide'!H112+'Demande d''aide'!H113</f>
        <v>0</v>
      </c>
      <c r="D6" s="245">
        <f>'Demande d''aide'!H114+'Demande d''aide'!H115</f>
        <v>0</v>
      </c>
      <c r="E6">
        <f>'Demande d''aide'!H118</f>
        <v>0</v>
      </c>
      <c r="F6">
        <f>'Demande d''aide'!H120</f>
        <v>0</v>
      </c>
      <c r="G6">
        <f>'Demande d''aide'!H121</f>
        <v>0</v>
      </c>
      <c r="H6">
        <f>'Demande d''aide'!H122</f>
        <v>0</v>
      </c>
      <c r="I6">
        <f>'Demande d''aide'!H123</f>
        <v>0</v>
      </c>
      <c r="J6">
        <f>'Demande d''aide'!H129</f>
        <v>0</v>
      </c>
      <c r="K6">
        <f>'Demande d''aide'!H131</f>
        <v>0</v>
      </c>
      <c r="L6">
        <f>'Demande d''aide'!I130</f>
        <v>0</v>
      </c>
      <c r="M6">
        <f>'Demande d''aide'!H132</f>
        <v>0</v>
      </c>
    </row>
    <row r="7" spans="1:13">
      <c r="A7" t="s">
        <v>8</v>
      </c>
      <c r="B7">
        <f>'Demande d''aide'!I111</f>
        <v>0</v>
      </c>
      <c r="C7">
        <f>'Demande d''aide'!I112+'Demande d''aide'!I113</f>
        <v>0</v>
      </c>
      <c r="D7" s="245">
        <f>'Demande d''aide'!I114+'Demande d''aide'!I115</f>
        <v>0</v>
      </c>
      <c r="E7">
        <f>'Demande d''aide'!I118</f>
        <v>0</v>
      </c>
      <c r="F7">
        <f>'Demande d''aide'!I120</f>
        <v>0</v>
      </c>
      <c r="G7">
        <f>'Demande d''aide'!I121</f>
        <v>0</v>
      </c>
      <c r="H7">
        <f>'Demande d''aide'!I122</f>
        <v>0</v>
      </c>
      <c r="I7">
        <f>'Demande d''aide'!I123</f>
        <v>0</v>
      </c>
      <c r="J7">
        <f>'Demande d''aide'!I129</f>
        <v>0</v>
      </c>
      <c r="K7">
        <f>'Demande d''aide'!I131</f>
        <v>0</v>
      </c>
      <c r="L7">
        <f>'Demande d''aide'!J130</f>
        <v>0</v>
      </c>
      <c r="M7">
        <f>'Demande d''aide'!I132</f>
        <v>0</v>
      </c>
    </row>
    <row r="8" spans="1:13">
      <c r="A8" t="s">
        <v>9</v>
      </c>
      <c r="B8">
        <f>'Demande d''aide'!J111</f>
        <v>0</v>
      </c>
      <c r="C8">
        <f>'Demande d''aide'!J112+'Demande d''aide'!J113</f>
        <v>0</v>
      </c>
      <c r="D8" s="245">
        <f>'Demande d''aide'!J114+'Demande d''aide'!J115</f>
        <v>0</v>
      </c>
      <c r="E8">
        <f>'Demande d''aide'!J118</f>
        <v>0</v>
      </c>
      <c r="F8">
        <f>'Demande d''aide'!J120</f>
        <v>0</v>
      </c>
      <c r="G8">
        <f>'Demande d''aide'!J121</f>
        <v>0</v>
      </c>
      <c r="H8">
        <f>'Demande d''aide'!J122</f>
        <v>0</v>
      </c>
      <c r="I8">
        <f>'Demande d''aide'!J123</f>
        <v>0</v>
      </c>
      <c r="J8">
        <f>'Demande d''aide'!J129</f>
        <v>0</v>
      </c>
      <c r="K8">
        <f>'Demande d''aide'!J131</f>
        <v>0</v>
      </c>
      <c r="L8">
        <f>'Demande d''aide'!K130</f>
        <v>0</v>
      </c>
      <c r="M8">
        <f>'Demande d''aide'!J132</f>
        <v>0</v>
      </c>
    </row>
    <row r="9" spans="1:13">
      <c r="A9" t="s">
        <v>10</v>
      </c>
      <c r="B9">
        <f>'Demande d''aide'!K111</f>
        <v>0</v>
      </c>
      <c r="C9">
        <f>'Demande d''aide'!K112+'Demande d''aide'!K113</f>
        <v>0</v>
      </c>
      <c r="D9" s="245">
        <f>'Demande d''aide'!K114+'Demande d''aide'!K115</f>
        <v>0</v>
      </c>
      <c r="E9">
        <f>'Demande d''aide'!K118</f>
        <v>0</v>
      </c>
      <c r="F9">
        <f>'Demande d''aide'!K120</f>
        <v>0</v>
      </c>
      <c r="G9">
        <f>'Demande d''aide'!K121</f>
        <v>0</v>
      </c>
      <c r="H9">
        <f>'Demande d''aide'!K122</f>
        <v>0</v>
      </c>
      <c r="I9">
        <f>'Demande d''aide'!K123</f>
        <v>0</v>
      </c>
      <c r="J9">
        <f>'Demande d''aide'!K129</f>
        <v>0</v>
      </c>
      <c r="K9">
        <f>'Demande d''aide'!K131</f>
        <v>0</v>
      </c>
      <c r="L9">
        <f>'Demande d''aide'!L130</f>
        <v>0</v>
      </c>
      <c r="M9">
        <f>'Demande d''aide'!K132</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Notice</vt:lpstr>
      <vt:lpstr>Demande d'aide</vt:lpstr>
      <vt:lpstr>données</vt:lpstr>
      <vt:lpstr>Barême plein2022</vt:lpstr>
      <vt:lpstr>Barême enrichissement 2023</vt:lpstr>
      <vt:lpstr>export_csv</vt:lpstr>
    </vt:vector>
  </TitlesOfParts>
  <Company>ADEME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DELBERGUE Antoine</dc:creator>
  <cp:lastModifiedBy>DELBERGUE Antoine</cp:lastModifiedBy>
  <dcterms:created xsi:type="dcterms:W3CDTF">2023-04-12T08:33:41Z</dcterms:created>
  <dcterms:modified xsi:type="dcterms:W3CDTF">2023-07-31T09:09:11Z</dcterms:modified>
</cp:coreProperties>
</file>