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hidePivotFieldList="1"/>
  <xr:revisionPtr revIDLastSave="0" documentId="13_ncr:1_{F1C9DABA-17E7-4429-A3A2-82975BC07B1B}" xr6:coauthVersionLast="47" xr6:coauthVersionMax="47" xr10:uidLastSave="{00000000-0000-0000-0000-000000000000}"/>
  <workbookProtection workbookAlgorithmName="SHA-512" workbookHashValue="D6Qm6UA6DXmn+g86g96h8pEn/Frng8SYuLmQyVVdIjhnNzai3X7+BAu/bhOMoC46AZnS9ryA8GmKrbJ/uEvIoQ==" workbookSaltValue="vpARUbW5Z8tWDjQfDpIN/w==" workbookSpinCount="100000" lockStructure="1"/>
  <bookViews>
    <workbookView xWindow="22932" yWindow="-108" windowWidth="19416" windowHeight="10416" tabRatio="869" activeTab="2" xr2:uid="{00000000-000D-0000-FFFF-FFFF00000000}"/>
  </bookViews>
  <sheets>
    <sheet name="Explications" sheetId="2" r:id="rId1"/>
    <sheet name="Definitions" sheetId="4" r:id="rId2"/>
    <sheet name="Partenaires" sheetId="5" r:id="rId3"/>
    <sheet name="Structure projet " sheetId="3" r:id="rId4"/>
    <sheet name="Amortissements" sheetId="7" r:id="rId5"/>
    <sheet name="Description des coûts" sheetId="8" r:id="rId6"/>
    <sheet name="BdD" sheetId="1" r:id="rId7"/>
    <sheet name="Syntheses AIDES" sheetId="9" r:id="rId8"/>
    <sheet name="Synthèse par LOT" sheetId="13" r:id="rId9"/>
    <sheet name="Export ICARE" sheetId="10" state="hidden" r:id="rId10"/>
    <sheet name="Checklist" sheetId="14" state="hidden" r:id="rId11"/>
  </sheets>
  <definedNames>
    <definedName name="_xlnm._FilterDatabase" localSheetId="4" hidden="1">Amortissements!$A$8:$O$9</definedName>
    <definedName name="_xlnm._FilterDatabase" localSheetId="6" hidden="1">BdD!$A$10:$AU$43</definedName>
    <definedName name="_xlnm._FilterDatabase" localSheetId="5" hidden="1">'Description des coûts'!$A$8:$M$9</definedName>
  </definedNames>
  <calcPr calcId="191029"/>
  <pivotCaches>
    <pivotCache cacheId="0" r:id="rId12"/>
    <pivotCache cacheId="1" r:id="rId13"/>
    <pivotCache cacheId="2" r:id="rId14"/>
    <pivotCache cacheId="3"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5" l="1"/>
  <c r="D18" i="5"/>
  <c r="E18" i="5"/>
  <c r="F18" i="5"/>
  <c r="C17" i="5"/>
  <c r="D17" i="5"/>
  <c r="E17" i="5"/>
  <c r="F17" i="5"/>
  <c r="C16" i="5"/>
  <c r="D16" i="5"/>
  <c r="E16" i="5"/>
  <c r="F16" i="5"/>
  <c r="C15" i="5"/>
  <c r="D15" i="5"/>
  <c r="E15" i="5"/>
  <c r="F15" i="5"/>
  <c r="B18" i="5"/>
  <c r="B17" i="5"/>
  <c r="B16" i="5"/>
  <c r="B15" i="5"/>
  <c r="C21" i="5" l="1"/>
  <c r="D21" i="5"/>
  <c r="E21" i="5"/>
  <c r="F21" i="5"/>
  <c r="C20" i="5"/>
  <c r="D20" i="5"/>
  <c r="E20" i="5"/>
  <c r="F20" i="5"/>
  <c r="D12" i="8"/>
  <c r="E11" i="8"/>
  <c r="AM12" i="1"/>
  <c r="AM13" i="1"/>
  <c r="AM14" i="1"/>
  <c r="AM15"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16" i="1" l="1"/>
  <c r="D10" i="7" l="1"/>
  <c r="K10" i="7"/>
  <c r="N10" i="7"/>
  <c r="D11" i="7"/>
  <c r="K11" i="7"/>
  <c r="N11" i="7"/>
  <c r="D12" i="7"/>
  <c r="K12" i="7"/>
  <c r="N12" i="7"/>
  <c r="D13" i="7"/>
  <c r="K13" i="7"/>
  <c r="N13" i="7"/>
  <c r="D14" i="7"/>
  <c r="K14" i="7"/>
  <c r="N14" i="7"/>
  <c r="D15" i="7"/>
  <c r="K15" i="7"/>
  <c r="N15" i="7"/>
  <c r="D16" i="7"/>
  <c r="K16" i="7"/>
  <c r="N16" i="7"/>
  <c r="D17" i="7"/>
  <c r="K17" i="7"/>
  <c r="N17" i="7"/>
  <c r="D18" i="7"/>
  <c r="K18" i="7"/>
  <c r="N18" i="7"/>
  <c r="D19" i="7"/>
  <c r="K19" i="7"/>
  <c r="N19" i="7"/>
  <c r="D20" i="7"/>
  <c r="K20" i="7"/>
  <c r="N20" i="7"/>
  <c r="D21" i="7"/>
  <c r="K21" i="7"/>
  <c r="N21" i="7"/>
  <c r="D22" i="7"/>
  <c r="K22" i="7"/>
  <c r="N22" i="7"/>
  <c r="D23" i="7"/>
  <c r="K23" i="7"/>
  <c r="N23" i="7"/>
  <c r="D24" i="7"/>
  <c r="K24" i="7"/>
  <c r="N24" i="7"/>
  <c r="D25" i="7"/>
  <c r="K25" i="7"/>
  <c r="N25" i="7"/>
  <c r="D26" i="7"/>
  <c r="K26" i="7"/>
  <c r="N26" i="7"/>
  <c r="D27" i="7"/>
  <c r="K27" i="7"/>
  <c r="N27" i="7"/>
  <c r="D28" i="7"/>
  <c r="K28" i="7"/>
  <c r="N28" i="7"/>
  <c r="D29" i="7"/>
  <c r="K29" i="7"/>
  <c r="N29" i="7"/>
  <c r="D30" i="7"/>
  <c r="K30" i="7"/>
  <c r="N30" i="7"/>
  <c r="D31" i="7"/>
  <c r="K31" i="7"/>
  <c r="N31" i="7"/>
  <c r="D32" i="7"/>
  <c r="K32" i="7"/>
  <c r="N32" i="7"/>
  <c r="D33" i="7"/>
  <c r="K33" i="7"/>
  <c r="N33" i="7"/>
  <c r="D34" i="7"/>
  <c r="K34" i="7"/>
  <c r="N34" i="7"/>
  <c r="D35" i="7"/>
  <c r="K35" i="7"/>
  <c r="N35" i="7"/>
  <c r="D36" i="7"/>
  <c r="K36" i="7"/>
  <c r="N36" i="7"/>
  <c r="D37" i="7"/>
  <c r="K37" i="7"/>
  <c r="N37" i="7"/>
  <c r="D38" i="7"/>
  <c r="K38" i="7"/>
  <c r="N38" i="7"/>
  <c r="D39" i="7"/>
  <c r="K39" i="7"/>
  <c r="N39" i="7"/>
  <c r="D40" i="7"/>
  <c r="K40" i="7"/>
  <c r="N40" i="7"/>
  <c r="D41" i="7"/>
  <c r="K41" i="7"/>
  <c r="N41" i="7"/>
  <c r="D42" i="7"/>
  <c r="K42" i="7"/>
  <c r="N42" i="7"/>
  <c r="D43" i="7"/>
  <c r="K43" i="7"/>
  <c r="N43" i="7"/>
  <c r="D44" i="7"/>
  <c r="K44" i="7"/>
  <c r="N44" i="7"/>
  <c r="D45" i="7"/>
  <c r="K45" i="7"/>
  <c r="N45" i="7"/>
  <c r="D46" i="7"/>
  <c r="K46" i="7"/>
  <c r="N46" i="7"/>
  <c r="D47" i="7"/>
  <c r="K47" i="7"/>
  <c r="N47" i="7"/>
  <c r="D48" i="7"/>
  <c r="K48" i="7"/>
  <c r="N48" i="7"/>
  <c r="D49" i="7"/>
  <c r="K49" i="7"/>
  <c r="N49" i="7"/>
  <c r="D50" i="7"/>
  <c r="K50" i="7"/>
  <c r="N50" i="7"/>
  <c r="D51" i="7"/>
  <c r="K51" i="7"/>
  <c r="N51" i="7"/>
  <c r="D52" i="7"/>
  <c r="K52" i="7"/>
  <c r="N52" i="7"/>
  <c r="D53" i="7"/>
  <c r="K53" i="7"/>
  <c r="N53" i="7"/>
  <c r="D54" i="7"/>
  <c r="K54" i="7"/>
  <c r="N54" i="7"/>
  <c r="D55" i="7"/>
  <c r="K55" i="7"/>
  <c r="N55" i="7"/>
  <c r="D56" i="7"/>
  <c r="K56" i="7"/>
  <c r="N56" i="7"/>
  <c r="D57" i="7"/>
  <c r="K57" i="7"/>
  <c r="N57" i="7"/>
  <c r="D58" i="7"/>
  <c r="K58" i="7"/>
  <c r="N58" i="7"/>
  <c r="D59" i="7"/>
  <c r="K59" i="7"/>
  <c r="N59" i="7"/>
  <c r="D60" i="7"/>
  <c r="K60" i="7"/>
  <c r="N60" i="7"/>
  <c r="D61" i="7"/>
  <c r="K61" i="7"/>
  <c r="N61" i="7"/>
  <c r="D62" i="7"/>
  <c r="K62" i="7"/>
  <c r="N62" i="7"/>
  <c r="D63" i="7"/>
  <c r="K63" i="7"/>
  <c r="N63" i="7"/>
  <c r="D64" i="7"/>
  <c r="K64" i="7"/>
  <c r="N64" i="7"/>
  <c r="D65" i="7"/>
  <c r="K65" i="7"/>
  <c r="N65" i="7"/>
  <c r="D66" i="7"/>
  <c r="K66" i="7"/>
  <c r="N66" i="7"/>
  <c r="D67" i="7"/>
  <c r="K67" i="7"/>
  <c r="N67" i="7"/>
  <c r="D68" i="7"/>
  <c r="K68" i="7"/>
  <c r="N68" i="7"/>
  <c r="D69" i="7"/>
  <c r="K69" i="7"/>
  <c r="N69" i="7"/>
  <c r="D70" i="7"/>
  <c r="K70" i="7"/>
  <c r="N70" i="7"/>
  <c r="D71" i="7"/>
  <c r="K71" i="7"/>
  <c r="N71" i="7"/>
  <c r="D72" i="7"/>
  <c r="K72" i="7"/>
  <c r="N72" i="7"/>
  <c r="D73" i="7"/>
  <c r="K73" i="7"/>
  <c r="N73" i="7"/>
  <c r="D74" i="7"/>
  <c r="K74" i="7"/>
  <c r="N74" i="7"/>
  <c r="D75" i="7"/>
  <c r="K75" i="7"/>
  <c r="N75" i="7"/>
  <c r="D76" i="7"/>
  <c r="K76" i="7"/>
  <c r="N76" i="7"/>
  <c r="D77" i="7"/>
  <c r="K77" i="7"/>
  <c r="N77" i="7"/>
  <c r="D78" i="7"/>
  <c r="K78" i="7"/>
  <c r="N78" i="7"/>
  <c r="D79" i="7"/>
  <c r="K79" i="7"/>
  <c r="N79" i="7"/>
  <c r="D80" i="7"/>
  <c r="K80" i="7"/>
  <c r="N80" i="7"/>
  <c r="D81" i="7"/>
  <c r="K81" i="7"/>
  <c r="N81" i="7"/>
  <c r="D82" i="7"/>
  <c r="K82" i="7"/>
  <c r="N82" i="7"/>
  <c r="E10" i="8"/>
  <c r="AH15" i="1"/>
  <c r="AH11" i="1" l="1"/>
  <c r="AH12" i="1"/>
  <c r="AH13" i="1"/>
  <c r="AH14" i="1"/>
  <c r="AK12" i="1"/>
  <c r="AK14"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11" i="1"/>
  <c r="AL1" i="1" l="1"/>
  <c r="AM1" i="1"/>
  <c r="AL11" i="1"/>
  <c r="AM11" i="1"/>
  <c r="AL12" i="1"/>
  <c r="AL13" i="1"/>
  <c r="AL14"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Q1" i="1"/>
  <c r="AQ11" i="1"/>
  <c r="AQ12" i="1"/>
  <c r="AQ13" i="1"/>
  <c r="AQ14"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D9" i="8"/>
  <c r="D10" i="8"/>
  <c r="D11" i="8"/>
  <c r="AD16" i="1"/>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AA15" i="1" l="1"/>
  <c r="AA1" i="1"/>
  <c r="AA13" i="1"/>
  <c r="AA21" i="1"/>
  <c r="AA25" i="1"/>
  <c r="AA29" i="1"/>
  <c r="AA33" i="1"/>
  <c r="AA37" i="1"/>
  <c r="AA41" i="1"/>
  <c r="AA39" i="1"/>
  <c r="AA12" i="1"/>
  <c r="AA24" i="1"/>
  <c r="AA32" i="1"/>
  <c r="AA36" i="1"/>
  <c r="AA11" i="1"/>
  <c r="AA14" i="1"/>
  <c r="AA18" i="1"/>
  <c r="AA22" i="1"/>
  <c r="AA26" i="1"/>
  <c r="AA30" i="1"/>
  <c r="AA34" i="1"/>
  <c r="AA38" i="1"/>
  <c r="AA42" i="1"/>
  <c r="AA19" i="1"/>
  <c r="AA23" i="1"/>
  <c r="AA27" i="1"/>
  <c r="AA31" i="1"/>
  <c r="AA35" i="1"/>
  <c r="AA43" i="1"/>
  <c r="AA16" i="1"/>
  <c r="AA20" i="1"/>
  <c r="AA28" i="1"/>
  <c r="AA40" i="1"/>
  <c r="U12" i="1"/>
  <c r="W12" i="1" s="1"/>
  <c r="O12" i="1"/>
  <c r="D12" i="1"/>
  <c r="X12" i="1" l="1"/>
  <c r="AP12" i="1"/>
  <c r="AT18" i="1" l="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U13" i="1" l="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11" i="1"/>
  <c r="X11" i="1" s="1"/>
  <c r="O1" i="1" l="1"/>
  <c r="D16" i="1" l="1"/>
  <c r="O16" i="1"/>
  <c r="W16" i="1"/>
  <c r="X16" i="1"/>
  <c r="AO16" i="1"/>
  <c r="AP16" i="1"/>
  <c r="K9" i="7"/>
  <c r="X17" i="1" l="1"/>
  <c r="X18" i="1"/>
  <c r="X19" i="1"/>
  <c r="X20" i="1"/>
  <c r="X21" i="1"/>
  <c r="X22" i="1"/>
  <c r="X23" i="1"/>
  <c r="X24" i="1"/>
  <c r="X25" i="1"/>
  <c r="X26" i="1"/>
  <c r="X27" i="1"/>
  <c r="X28" i="1"/>
  <c r="X29" i="1"/>
  <c r="X30" i="1"/>
  <c r="X31" i="1"/>
  <c r="X32" i="1"/>
  <c r="X33" i="1"/>
  <c r="X34" i="1"/>
  <c r="X35" i="1"/>
  <c r="X36" i="1"/>
  <c r="X37" i="1"/>
  <c r="X38" i="1"/>
  <c r="X39" i="1"/>
  <c r="X40" i="1"/>
  <c r="X41" i="1"/>
  <c r="X42" i="1"/>
  <c r="X43" i="1"/>
  <c r="D41" i="1" l="1"/>
  <c r="O41" i="1"/>
  <c r="W41" i="1"/>
  <c r="AI41" i="1"/>
  <c r="AO41" i="1"/>
  <c r="AP41" i="1"/>
  <c r="D40" i="1"/>
  <c r="O40" i="1"/>
  <c r="W40" i="1"/>
  <c r="AI40" i="1"/>
  <c r="AO40" i="1"/>
  <c r="AP40" i="1"/>
  <c r="AR41" i="1" l="1"/>
  <c r="AR40" i="1"/>
  <c r="I25" i="10" l="1"/>
  <c r="I26" i="10"/>
  <c r="I27" i="10"/>
  <c r="D25" i="10"/>
  <c r="Y10" i="10" l="1"/>
  <c r="Z10" i="10"/>
  <c r="Y11" i="10"/>
  <c r="Z11" i="10"/>
  <c r="Y12" i="10"/>
  <c r="Z12" i="10"/>
  <c r="Y13" i="10"/>
  <c r="Z13" i="10"/>
  <c r="Y14" i="10"/>
  <c r="Z14" i="10"/>
  <c r="Y15" i="10"/>
  <c r="Z15" i="10"/>
  <c r="Y16" i="10"/>
  <c r="Z16" i="10"/>
  <c r="Y17" i="10"/>
  <c r="Z17" i="10"/>
  <c r="Y18" i="10"/>
  <c r="Z18" i="10"/>
  <c r="Y19" i="10"/>
  <c r="Z19" i="10"/>
  <c r="Y20" i="10"/>
  <c r="Z20" i="10"/>
  <c r="H12" i="10" l="1"/>
  <c r="I12" i="10"/>
  <c r="H13" i="10"/>
  <c r="I13" i="10"/>
  <c r="H14" i="10"/>
  <c r="I14" i="10"/>
  <c r="H15" i="10"/>
  <c r="I15" i="10"/>
  <c r="H16" i="10"/>
  <c r="I16" i="10"/>
  <c r="H17" i="10"/>
  <c r="I17" i="10"/>
  <c r="H18" i="10"/>
  <c r="I18" i="10"/>
  <c r="H19" i="10"/>
  <c r="I19" i="10"/>
  <c r="AP14" i="1"/>
  <c r="AO14" i="1"/>
  <c r="O14" i="1"/>
  <c r="D14" i="1"/>
  <c r="AP13" i="1"/>
  <c r="AO13" i="1"/>
  <c r="O13" i="1"/>
  <c r="D13" i="1"/>
  <c r="AR14" i="1" l="1"/>
  <c r="AR13" i="1"/>
  <c r="W14" i="1"/>
  <c r="X14" i="1"/>
  <c r="W13" i="1"/>
  <c r="X13" i="1"/>
  <c r="H25" i="10" l="1"/>
  <c r="H26" i="10"/>
  <c r="H27" i="10"/>
  <c r="G26" i="10"/>
  <c r="G27" i="10"/>
  <c r="G25" i="10"/>
  <c r="F26" i="10"/>
  <c r="F27" i="10"/>
  <c r="F25" i="10"/>
  <c r="E27" i="10"/>
  <c r="E26" i="10"/>
  <c r="AI43" i="1"/>
  <c r="AI42" i="1"/>
  <c r="AI39" i="1"/>
  <c r="AI38" i="1"/>
  <c r="AI37" i="1"/>
  <c r="AI36" i="1"/>
  <c r="AI35" i="1"/>
  <c r="AI34" i="1"/>
  <c r="AI33" i="1"/>
  <c r="AI32" i="1"/>
  <c r="AI31" i="1"/>
  <c r="AI30" i="1"/>
  <c r="AI29" i="1"/>
  <c r="AI28" i="1"/>
  <c r="AI27" i="1"/>
  <c r="AI26" i="1"/>
  <c r="AI25" i="1"/>
  <c r="AI24" i="1"/>
  <c r="AI23" i="1"/>
  <c r="AI22" i="1"/>
  <c r="AI21" i="1"/>
  <c r="AI20" i="1"/>
  <c r="AI19" i="1"/>
  <c r="AI18" i="1"/>
  <c r="AI17" i="1"/>
  <c r="AT1" i="1"/>
  <c r="AI1" i="1"/>
  <c r="AH1" i="1"/>
  <c r="X1" i="1"/>
  <c r="D17" i="1"/>
  <c r="AA17" i="1" s="1"/>
  <c r="D18" i="1"/>
  <c r="D19" i="1"/>
  <c r="D20" i="1"/>
  <c r="D21" i="1"/>
  <c r="D22" i="1"/>
  <c r="D23" i="1"/>
  <c r="D24" i="1"/>
  <c r="D25" i="1"/>
  <c r="D26" i="1"/>
  <c r="D27" i="1"/>
  <c r="D28" i="1"/>
  <c r="D29" i="1"/>
  <c r="D30" i="1"/>
  <c r="D31" i="1"/>
  <c r="D32" i="1"/>
  <c r="D33" i="1"/>
  <c r="D34" i="1"/>
  <c r="D35" i="1"/>
  <c r="D36" i="1"/>
  <c r="D37" i="1"/>
  <c r="D38" i="1"/>
  <c r="D39" i="1"/>
  <c r="D42" i="1"/>
  <c r="D43" i="1"/>
  <c r="B29" i="9"/>
  <c r="AA5" i="1" l="1"/>
  <c r="AA4" i="1"/>
  <c r="E25" i="10"/>
  <c r="D10" i="3"/>
  <c r="E12" i="8" s="1"/>
  <c r="D11" i="3"/>
  <c r="D12" i="3"/>
  <c r="D13" i="3"/>
  <c r="D14" i="3"/>
  <c r="D15" i="3"/>
  <c r="D16" i="3"/>
  <c r="D17" i="3"/>
  <c r="D18" i="3"/>
  <c r="D19" i="3"/>
  <c r="D20" i="3"/>
  <c r="D21" i="3"/>
  <c r="D22" i="3"/>
  <c r="D23" i="3"/>
  <c r="D24" i="3"/>
  <c r="D25" i="3"/>
  <c r="D26" i="3"/>
  <c r="D27" i="3"/>
  <c r="D28" i="3"/>
  <c r="D29" i="3"/>
  <c r="D30" i="3"/>
  <c r="D31" i="3"/>
  <c r="D32" i="3"/>
  <c r="D33" i="3"/>
  <c r="D34" i="3"/>
  <c r="D35" i="3"/>
  <c r="E10" i="7" l="1"/>
  <c r="E14" i="7"/>
  <c r="E18" i="7"/>
  <c r="E22" i="7"/>
  <c r="E26" i="7"/>
  <c r="E30" i="7"/>
  <c r="E34" i="7"/>
  <c r="E38" i="7"/>
  <c r="E42" i="7"/>
  <c r="E46" i="7"/>
  <c r="E50" i="7"/>
  <c r="E54" i="7"/>
  <c r="E58" i="7"/>
  <c r="E62" i="7"/>
  <c r="E66" i="7"/>
  <c r="E70" i="7"/>
  <c r="E74" i="7"/>
  <c r="E78" i="7"/>
  <c r="E82" i="7"/>
  <c r="E16" i="8"/>
  <c r="E20" i="8"/>
  <c r="E24" i="8"/>
  <c r="E28" i="8"/>
  <c r="E32" i="8"/>
  <c r="E36" i="8"/>
  <c r="E40" i="8"/>
  <c r="E44" i="8"/>
  <c r="E48" i="8"/>
  <c r="E17" i="7"/>
  <c r="E21" i="7"/>
  <c r="E29" i="7"/>
  <c r="E37" i="7"/>
  <c r="E45" i="7"/>
  <c r="E57" i="7"/>
  <c r="E65" i="7"/>
  <c r="E73" i="7"/>
  <c r="E77" i="7"/>
  <c r="E19" i="8"/>
  <c r="E27" i="8"/>
  <c r="E35" i="8"/>
  <c r="E39" i="8"/>
  <c r="E47" i="8"/>
  <c r="E11" i="7"/>
  <c r="E15" i="7"/>
  <c r="E19" i="7"/>
  <c r="E23" i="7"/>
  <c r="E27" i="7"/>
  <c r="E31" i="7"/>
  <c r="E35" i="7"/>
  <c r="E39" i="7"/>
  <c r="E43" i="7"/>
  <c r="E47" i="7"/>
  <c r="E51" i="7"/>
  <c r="E55" i="7"/>
  <c r="E59" i="7"/>
  <c r="E63" i="7"/>
  <c r="E67" i="7"/>
  <c r="E71" i="7"/>
  <c r="E75" i="7"/>
  <c r="E79" i="7"/>
  <c r="E13" i="8"/>
  <c r="E17" i="8"/>
  <c r="E21" i="8"/>
  <c r="E25" i="8"/>
  <c r="E29" i="8"/>
  <c r="E33" i="8"/>
  <c r="E37" i="8"/>
  <c r="E41" i="8"/>
  <c r="E45" i="8"/>
  <c r="E26" i="8"/>
  <c r="E30" i="8"/>
  <c r="E34" i="8"/>
  <c r="E38" i="8"/>
  <c r="E42" i="8"/>
  <c r="E46" i="8"/>
  <c r="E13" i="7"/>
  <c r="E25" i="7"/>
  <c r="E33" i="7"/>
  <c r="E41" i="7"/>
  <c r="E49" i="7"/>
  <c r="E53" i="7"/>
  <c r="E61" i="7"/>
  <c r="E69" i="7"/>
  <c r="E81" i="7"/>
  <c r="E15" i="8"/>
  <c r="E23" i="8"/>
  <c r="E31" i="8"/>
  <c r="E43" i="8"/>
  <c r="E12" i="7"/>
  <c r="E16" i="7"/>
  <c r="E20" i="7"/>
  <c r="E24" i="7"/>
  <c r="E28" i="7"/>
  <c r="E32" i="7"/>
  <c r="E36" i="7"/>
  <c r="E40" i="7"/>
  <c r="E44" i="7"/>
  <c r="E48" i="7"/>
  <c r="E52" i="7"/>
  <c r="E56" i="7"/>
  <c r="E60" i="7"/>
  <c r="E64" i="7"/>
  <c r="E68" i="7"/>
  <c r="E72" i="7"/>
  <c r="E76" i="7"/>
  <c r="E80" i="7"/>
  <c r="E14" i="8"/>
  <c r="E18" i="8"/>
  <c r="E22" i="8"/>
  <c r="M54" i="10"/>
  <c r="N54" i="10"/>
  <c r="O54" i="10"/>
  <c r="P54" i="10"/>
  <c r="Q54" i="10"/>
  <c r="R54" i="10"/>
  <c r="S54" i="10"/>
  <c r="T54" i="10"/>
  <c r="U54" i="10"/>
  <c r="M51" i="10"/>
  <c r="N51" i="10"/>
  <c r="O51" i="10"/>
  <c r="P51" i="10"/>
  <c r="Q51" i="10"/>
  <c r="R51" i="10"/>
  <c r="S51" i="10"/>
  <c r="T51" i="10"/>
  <c r="U51" i="10"/>
  <c r="M52" i="10"/>
  <c r="N52" i="10"/>
  <c r="O52" i="10"/>
  <c r="P52" i="10"/>
  <c r="Q52" i="10"/>
  <c r="R52" i="10"/>
  <c r="S52" i="10"/>
  <c r="T52" i="10"/>
  <c r="U52" i="10"/>
  <c r="M53" i="10"/>
  <c r="N53" i="10"/>
  <c r="O53" i="10"/>
  <c r="P53" i="10"/>
  <c r="Q53" i="10"/>
  <c r="R53" i="10"/>
  <c r="S53" i="10"/>
  <c r="T53" i="10"/>
  <c r="U53" i="10"/>
  <c r="M45" i="10"/>
  <c r="B34" i="10" s="1"/>
  <c r="N45" i="10"/>
  <c r="D34" i="10" s="1"/>
  <c r="O45" i="10"/>
  <c r="E34" i="10" s="1"/>
  <c r="P45" i="10"/>
  <c r="F34" i="10" s="1"/>
  <c r="Q45" i="10"/>
  <c r="G34" i="10" s="1"/>
  <c r="R45" i="10"/>
  <c r="H34" i="10" s="1"/>
  <c r="S45" i="10"/>
  <c r="I34" i="10" s="1"/>
  <c r="T45" i="10"/>
  <c r="J34" i="10" s="1"/>
  <c r="U45" i="10"/>
  <c r="M46" i="10"/>
  <c r="B35" i="10" s="1"/>
  <c r="N46" i="10"/>
  <c r="D35" i="10" s="1"/>
  <c r="O46" i="10"/>
  <c r="E35" i="10" s="1"/>
  <c r="P46" i="10"/>
  <c r="F35" i="10" s="1"/>
  <c r="Q46" i="10"/>
  <c r="G35" i="10" s="1"/>
  <c r="R46" i="10"/>
  <c r="H35" i="10" s="1"/>
  <c r="S46" i="10"/>
  <c r="I35" i="10" s="1"/>
  <c r="T46" i="10"/>
  <c r="J35" i="10" s="1"/>
  <c r="U46" i="10"/>
  <c r="M47" i="10"/>
  <c r="B36" i="10" s="1"/>
  <c r="N47" i="10"/>
  <c r="D36" i="10" s="1"/>
  <c r="O47" i="10"/>
  <c r="E36" i="10" s="1"/>
  <c r="P47" i="10"/>
  <c r="F36" i="10" s="1"/>
  <c r="Q47" i="10"/>
  <c r="G36" i="10" s="1"/>
  <c r="R47" i="10"/>
  <c r="H36" i="10" s="1"/>
  <c r="S47" i="10"/>
  <c r="I36" i="10" s="1"/>
  <c r="T47" i="10"/>
  <c r="J36" i="10" s="1"/>
  <c r="U47" i="10"/>
  <c r="M48" i="10"/>
  <c r="B37" i="10" s="1"/>
  <c r="N48" i="10"/>
  <c r="D37" i="10" s="1"/>
  <c r="O48" i="10"/>
  <c r="E37" i="10" s="1"/>
  <c r="P48" i="10"/>
  <c r="F37" i="10" s="1"/>
  <c r="Q48" i="10"/>
  <c r="G37" i="10" s="1"/>
  <c r="R48" i="10"/>
  <c r="H37" i="10" s="1"/>
  <c r="S48" i="10"/>
  <c r="I37" i="10" s="1"/>
  <c r="T48" i="10"/>
  <c r="J37" i="10" s="1"/>
  <c r="U48" i="10"/>
  <c r="M49" i="10"/>
  <c r="B38" i="10" s="1"/>
  <c r="N49" i="10"/>
  <c r="O49" i="10"/>
  <c r="P49" i="10"/>
  <c r="Q49" i="10"/>
  <c r="G38" i="10" s="1"/>
  <c r="R49" i="10"/>
  <c r="H38" i="10" s="1"/>
  <c r="S49" i="10"/>
  <c r="I38" i="10" s="1"/>
  <c r="T49" i="10"/>
  <c r="J38" i="10" s="1"/>
  <c r="U49" i="10"/>
  <c r="M50" i="10"/>
  <c r="B39" i="10" s="1"/>
  <c r="N50" i="10"/>
  <c r="D39" i="10" s="1"/>
  <c r="O50" i="10"/>
  <c r="E39" i="10" s="1"/>
  <c r="P50" i="10"/>
  <c r="F39" i="10" s="1"/>
  <c r="Q50" i="10"/>
  <c r="G39" i="10" s="1"/>
  <c r="R50" i="10"/>
  <c r="H39" i="10" s="1"/>
  <c r="S50" i="10"/>
  <c r="I39" i="10" s="1"/>
  <c r="T50" i="10"/>
  <c r="J39" i="10" s="1"/>
  <c r="U50" i="10"/>
  <c r="N44" i="10"/>
  <c r="D33" i="10" s="1"/>
  <c r="O44" i="10"/>
  <c r="E33" i="10" s="1"/>
  <c r="P44" i="10"/>
  <c r="F33" i="10" s="1"/>
  <c r="Q44" i="10"/>
  <c r="G33" i="10" s="1"/>
  <c r="R44" i="10"/>
  <c r="H33" i="10" s="1"/>
  <c r="S44" i="10"/>
  <c r="I33" i="10" s="1"/>
  <c r="T44" i="10"/>
  <c r="J33" i="10" s="1"/>
  <c r="U44" i="10"/>
  <c r="K33" i="10" s="1"/>
  <c r="M44" i="10"/>
  <c r="Z8" i="1"/>
  <c r="AP1" i="1" l="1"/>
  <c r="AO1" i="1"/>
  <c r="AJ1" i="1"/>
  <c r="U1" i="1"/>
  <c r="W1" i="1" s="1"/>
  <c r="D1" i="1"/>
  <c r="D6" i="3"/>
  <c r="D15" i="1"/>
  <c r="D11" i="1"/>
  <c r="E12" i="1" l="1"/>
  <c r="AD15" i="1"/>
  <c r="AB12" i="1"/>
  <c r="Y12" i="1"/>
  <c r="AD12" i="1"/>
  <c r="AC12" i="1"/>
  <c r="Y16" i="1"/>
  <c r="AB16" i="1"/>
  <c r="AC16" i="1"/>
  <c r="Y13" i="1"/>
  <c r="AR1" i="1"/>
  <c r="AN1" i="1"/>
  <c r="AU1" i="1" s="1"/>
  <c r="AS1" i="1" s="1"/>
  <c r="N1" i="7"/>
  <c r="K1" i="7"/>
  <c r="D1" i="7"/>
  <c r="D1" i="8"/>
  <c r="AP43" i="1"/>
  <c r="AO43" i="1"/>
  <c r="W43" i="1"/>
  <c r="O43" i="1"/>
  <c r="AP42" i="1"/>
  <c r="AO42" i="1"/>
  <c r="W42" i="1"/>
  <c r="O42" i="1"/>
  <c r="AP39" i="1"/>
  <c r="AO39" i="1"/>
  <c r="W39" i="1"/>
  <c r="O39" i="1"/>
  <c r="AP38" i="1"/>
  <c r="AO38" i="1"/>
  <c r="W38" i="1"/>
  <c r="O38" i="1"/>
  <c r="AP37" i="1"/>
  <c r="AO37" i="1"/>
  <c r="W37" i="1"/>
  <c r="O37" i="1"/>
  <c r="AP36" i="1"/>
  <c r="AO36" i="1"/>
  <c r="W36" i="1"/>
  <c r="O36" i="1"/>
  <c r="AP35" i="1"/>
  <c r="AO35" i="1"/>
  <c r="W35" i="1"/>
  <c r="O35" i="1"/>
  <c r="AP34" i="1"/>
  <c r="AO34" i="1"/>
  <c r="W34" i="1"/>
  <c r="O34" i="1"/>
  <c r="AP33" i="1"/>
  <c r="AO33" i="1"/>
  <c r="W33" i="1"/>
  <c r="O33" i="1"/>
  <c r="AP32" i="1"/>
  <c r="AO32" i="1"/>
  <c r="W32" i="1"/>
  <c r="O32" i="1"/>
  <c r="AP31" i="1"/>
  <c r="AO31" i="1"/>
  <c r="W31" i="1"/>
  <c r="O31" i="1"/>
  <c r="AP30" i="1"/>
  <c r="AO30" i="1"/>
  <c r="O30" i="1"/>
  <c r="AP29" i="1"/>
  <c r="AO29" i="1"/>
  <c r="W29" i="1"/>
  <c r="O29" i="1"/>
  <c r="AP28" i="1"/>
  <c r="AO28" i="1"/>
  <c r="W28" i="1"/>
  <c r="O28" i="1"/>
  <c r="AP27" i="1"/>
  <c r="AO27" i="1"/>
  <c r="O27" i="1"/>
  <c r="AP26" i="1"/>
  <c r="AO26" i="1"/>
  <c r="W26" i="1"/>
  <c r="O26" i="1"/>
  <c r="AP25" i="1"/>
  <c r="AO25" i="1"/>
  <c r="O25" i="1"/>
  <c r="AP24" i="1"/>
  <c r="AO24" i="1"/>
  <c r="O24" i="1"/>
  <c r="AP23" i="1"/>
  <c r="AO23" i="1"/>
  <c r="W23" i="1"/>
  <c r="O23" i="1"/>
  <c r="AP22" i="1"/>
  <c r="AO22" i="1"/>
  <c r="O22" i="1"/>
  <c r="AP21" i="1"/>
  <c r="AO21" i="1"/>
  <c r="W21" i="1"/>
  <c r="O21" i="1"/>
  <c r="AP20" i="1"/>
  <c r="AO20" i="1"/>
  <c r="W20" i="1"/>
  <c r="O20" i="1"/>
  <c r="AP19" i="1"/>
  <c r="AO19" i="1"/>
  <c r="W19" i="1"/>
  <c r="O19" i="1"/>
  <c r="AP18" i="1"/>
  <c r="AO18" i="1"/>
  <c r="W18" i="1"/>
  <c r="O18" i="1"/>
  <c r="AP17" i="1"/>
  <c r="AO17" i="1"/>
  <c r="W17" i="1"/>
  <c r="O17" i="1"/>
  <c r="X15" i="1"/>
  <c r="O15" i="1"/>
  <c r="AR28" i="1" l="1"/>
  <c r="AR33" i="1"/>
  <c r="AR37" i="1"/>
  <c r="AR43" i="1"/>
  <c r="AR18" i="1"/>
  <c r="AR23" i="1"/>
  <c r="AR24" i="1"/>
  <c r="AR25" i="1"/>
  <c r="AR31" i="1"/>
  <c r="AR35" i="1"/>
  <c r="AR39" i="1"/>
  <c r="AR19" i="1"/>
  <c r="AR26" i="1"/>
  <c r="AR27" i="1"/>
  <c r="AR32" i="1"/>
  <c r="AR36" i="1"/>
  <c r="AR42" i="1"/>
  <c r="AR20" i="1"/>
  <c r="AR17" i="1"/>
  <c r="AR21" i="1"/>
  <c r="AR22" i="1"/>
  <c r="AR29" i="1"/>
  <c r="AR30" i="1"/>
  <c r="AR34" i="1"/>
  <c r="AR38" i="1"/>
  <c r="W15" i="1"/>
  <c r="W22" i="1"/>
  <c r="W24" i="1"/>
  <c r="W25" i="1"/>
  <c r="W27" i="1"/>
  <c r="W30" i="1"/>
  <c r="C29" i="9"/>
  <c r="D29" i="9"/>
  <c r="E29" i="9"/>
  <c r="E11" i="10" l="1"/>
  <c r="F11" i="10"/>
  <c r="G11" i="10"/>
  <c r="H11" i="10"/>
  <c r="I11" i="10"/>
  <c r="D11" i="10"/>
  <c r="U10" i="10" l="1"/>
  <c r="V10" i="10"/>
  <c r="W10" i="10"/>
  <c r="X10" i="10"/>
  <c r="U11" i="10"/>
  <c r="V11" i="10"/>
  <c r="W11" i="10"/>
  <c r="X11" i="10"/>
  <c r="U12" i="10"/>
  <c r="D12" i="10" s="1"/>
  <c r="V12" i="10"/>
  <c r="E12" i="10" s="1"/>
  <c r="W12" i="10"/>
  <c r="F12" i="10" s="1"/>
  <c r="X12" i="10"/>
  <c r="G12" i="10" s="1"/>
  <c r="U13" i="10"/>
  <c r="D13" i="10" s="1"/>
  <c r="V13" i="10"/>
  <c r="E13" i="10" s="1"/>
  <c r="W13" i="10"/>
  <c r="F13" i="10" s="1"/>
  <c r="X13" i="10"/>
  <c r="G13" i="10" s="1"/>
  <c r="U14" i="10"/>
  <c r="D14" i="10" s="1"/>
  <c r="V14" i="10"/>
  <c r="E14" i="10" s="1"/>
  <c r="W14" i="10"/>
  <c r="F14" i="10" s="1"/>
  <c r="X14" i="10"/>
  <c r="G14" i="10" s="1"/>
  <c r="U15" i="10"/>
  <c r="D15" i="10" s="1"/>
  <c r="V15" i="10"/>
  <c r="E15" i="10" s="1"/>
  <c r="W15" i="10"/>
  <c r="F15" i="10" s="1"/>
  <c r="X15" i="10"/>
  <c r="G15" i="10" s="1"/>
  <c r="U16" i="10"/>
  <c r="D16" i="10" s="1"/>
  <c r="V16" i="10"/>
  <c r="E16" i="10" s="1"/>
  <c r="W16" i="10"/>
  <c r="F16" i="10" s="1"/>
  <c r="X16" i="10"/>
  <c r="G16" i="10" s="1"/>
  <c r="U17" i="10"/>
  <c r="D17" i="10" s="1"/>
  <c r="V17" i="10"/>
  <c r="E17" i="10" s="1"/>
  <c r="W17" i="10"/>
  <c r="F17" i="10" s="1"/>
  <c r="X17" i="10"/>
  <c r="G17" i="10" s="1"/>
  <c r="U18" i="10"/>
  <c r="D18" i="10" s="1"/>
  <c r="V18" i="10"/>
  <c r="E18" i="10" s="1"/>
  <c r="W18" i="10"/>
  <c r="F18" i="10" s="1"/>
  <c r="X18" i="10"/>
  <c r="G18" i="10" s="1"/>
  <c r="U19" i="10"/>
  <c r="D19" i="10" s="1"/>
  <c r="V19" i="10"/>
  <c r="E19" i="10" s="1"/>
  <c r="W19" i="10"/>
  <c r="F19" i="10" s="1"/>
  <c r="X19" i="10"/>
  <c r="G19" i="10" s="1"/>
  <c r="U20" i="10"/>
  <c r="V20" i="10"/>
  <c r="W20" i="10"/>
  <c r="X20" i="10"/>
  <c r="T11" i="10"/>
  <c r="T12" i="10"/>
  <c r="T13" i="10"/>
  <c r="T14" i="10"/>
  <c r="T15" i="10"/>
  <c r="T16" i="10"/>
  <c r="T17" i="10"/>
  <c r="T18" i="10"/>
  <c r="T19" i="10"/>
  <c r="T20" i="10"/>
  <c r="T10" i="10"/>
  <c r="C5" i="10"/>
  <c r="C4" i="10"/>
  <c r="C3" i="10"/>
  <c r="C2" i="10"/>
  <c r="N9" i="7" l="1"/>
  <c r="D9" i="7"/>
  <c r="Z41" i="1" l="1"/>
  <c r="Z40" i="1"/>
  <c r="Z13" i="1"/>
  <c r="Z14" i="1"/>
  <c r="Z42" i="1"/>
  <c r="Z24" i="1"/>
  <c r="Z31" i="1"/>
  <c r="Z38" i="1"/>
  <c r="Z22" i="1"/>
  <c r="Z33" i="1"/>
  <c r="Z17" i="1"/>
  <c r="Z29" i="1"/>
  <c r="Z43" i="1"/>
  <c r="Z28" i="1"/>
  <c r="Z19" i="1"/>
  <c r="Z37" i="1"/>
  <c r="Z36" i="1"/>
  <c r="Z20" i="1"/>
  <c r="Z27" i="1"/>
  <c r="Z34" i="1"/>
  <c r="Z18" i="1"/>
  <c r="Z32" i="1"/>
  <c r="Z39" i="1"/>
  <c r="Z23" i="1"/>
  <c r="Z30" i="1"/>
  <c r="Z25" i="1"/>
  <c r="Z35" i="1"/>
  <c r="Z26" i="1"/>
  <c r="Z21" i="1"/>
  <c r="Z1" i="1"/>
  <c r="L5" i="8"/>
  <c r="Z12" i="1"/>
  <c r="AF12" i="1" s="1"/>
  <c r="AI12" i="1" s="1"/>
  <c r="AO11" i="1"/>
  <c r="O11" i="1"/>
  <c r="N5" i="1"/>
  <c r="M5" i="1"/>
  <c r="L5" i="1"/>
  <c r="K5" i="1"/>
  <c r="J5" i="1"/>
  <c r="N4" i="1"/>
  <c r="M4" i="1"/>
  <c r="L4" i="1"/>
  <c r="K4" i="1"/>
  <c r="J4" i="1"/>
  <c r="V4" i="1"/>
  <c r="V5" i="1"/>
  <c r="D7" i="3"/>
  <c r="D8" i="3"/>
  <c r="D9"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AO12" i="1" l="1"/>
  <c r="AR12" i="1" s="1"/>
  <c r="AJ12" i="1"/>
  <c r="AN12" i="1" s="1"/>
  <c r="Z15" i="1"/>
  <c r="Z16" i="1"/>
  <c r="AF16" i="1" s="1"/>
  <c r="E9" i="8"/>
  <c r="E15" i="1"/>
  <c r="E13" i="1"/>
  <c r="E14" i="1"/>
  <c r="E16" i="1"/>
  <c r="E40" i="1"/>
  <c r="E41" i="1"/>
  <c r="Z11" i="1"/>
  <c r="AB40" i="1"/>
  <c r="AB41" i="1"/>
  <c r="AB14" i="1"/>
  <c r="Y40" i="1"/>
  <c r="AC40" i="1"/>
  <c r="AC13" i="1"/>
  <c r="Y14" i="1"/>
  <c r="AD41" i="1"/>
  <c r="AC41" i="1"/>
  <c r="AD13" i="1"/>
  <c r="AC14" i="1"/>
  <c r="Y41" i="1"/>
  <c r="AD40" i="1"/>
  <c r="AB13" i="1"/>
  <c r="AD14" i="1"/>
  <c r="D27" i="10"/>
  <c r="D26" i="10"/>
  <c r="AC1" i="1"/>
  <c r="AB17" i="1"/>
  <c r="Y15" i="1"/>
  <c r="AD1" i="1"/>
  <c r="Y17" i="1"/>
  <c r="AB1" i="1"/>
  <c r="Y1" i="1"/>
  <c r="AD17" i="1"/>
  <c r="AC15" i="1"/>
  <c r="Y11" i="1"/>
  <c r="AB15" i="1"/>
  <c r="AC17" i="1"/>
  <c r="AD22" i="1"/>
  <c r="AD26" i="1"/>
  <c r="AD32" i="1"/>
  <c r="AD19" i="1"/>
  <c r="AD23" i="1"/>
  <c r="AD27" i="1"/>
  <c r="AD33" i="1"/>
  <c r="AD37" i="1"/>
  <c r="AD42" i="1"/>
  <c r="AD18" i="1"/>
  <c r="AD30" i="1"/>
  <c r="AD36" i="1"/>
  <c r="AC20" i="1"/>
  <c r="AC24" i="1"/>
  <c r="AC28" i="1"/>
  <c r="AC34" i="1"/>
  <c r="AC38" i="1"/>
  <c r="AC43" i="1"/>
  <c r="AB21" i="1"/>
  <c r="AB25" i="1"/>
  <c r="AB29" i="1"/>
  <c r="AB31" i="1"/>
  <c r="AB35" i="1"/>
  <c r="AB39" i="1"/>
  <c r="AB34" i="1"/>
  <c r="AB43" i="1"/>
  <c r="AD25" i="1"/>
  <c r="AD29" i="1"/>
  <c r="AD35" i="1"/>
  <c r="AD28" i="1"/>
  <c r="AD38" i="1"/>
  <c r="Y25" i="1"/>
  <c r="Y35" i="1"/>
  <c r="AB22" i="1"/>
  <c r="AB19" i="1"/>
  <c r="AB42" i="1"/>
  <c r="AB36" i="1"/>
  <c r="Y24" i="1"/>
  <c r="Y34" i="1"/>
  <c r="AC21" i="1"/>
  <c r="AC31" i="1"/>
  <c r="Y22" i="1"/>
  <c r="Y26" i="1"/>
  <c r="Y32" i="1"/>
  <c r="Y19" i="1"/>
  <c r="Y23" i="1"/>
  <c r="Y27" i="1"/>
  <c r="Y33" i="1"/>
  <c r="Y37" i="1"/>
  <c r="Y42" i="1"/>
  <c r="Y18" i="1"/>
  <c r="Y30" i="1"/>
  <c r="Y36" i="1"/>
  <c r="AB20" i="1"/>
  <c r="AB24" i="1"/>
  <c r="AB28" i="1"/>
  <c r="AB38" i="1"/>
  <c r="AD21" i="1"/>
  <c r="AD31" i="1"/>
  <c r="AD39" i="1"/>
  <c r="AD43" i="1"/>
  <c r="Y29" i="1"/>
  <c r="Y39" i="1"/>
  <c r="AB32" i="1"/>
  <c r="AB27" i="1"/>
  <c r="AB37" i="1"/>
  <c r="AB30" i="1"/>
  <c r="Y20" i="1"/>
  <c r="Y43" i="1"/>
  <c r="AC29" i="1"/>
  <c r="AC39" i="1"/>
  <c r="AC22" i="1"/>
  <c r="AC26" i="1"/>
  <c r="AC32" i="1"/>
  <c r="AC19" i="1"/>
  <c r="AC23" i="1"/>
  <c r="AC27" i="1"/>
  <c r="AC33" i="1"/>
  <c r="AC37" i="1"/>
  <c r="AC42" i="1"/>
  <c r="AC18" i="1"/>
  <c r="AC30" i="1"/>
  <c r="AC36" i="1"/>
  <c r="AD20" i="1"/>
  <c r="AD24" i="1"/>
  <c r="AD34" i="1"/>
  <c r="Y21" i="1"/>
  <c r="Y31" i="1"/>
  <c r="AB26" i="1"/>
  <c r="AB23" i="1"/>
  <c r="AB33" i="1"/>
  <c r="AB18" i="1"/>
  <c r="Y28" i="1"/>
  <c r="Y38" i="1"/>
  <c r="AC25" i="1"/>
  <c r="AC35" i="1"/>
  <c r="E1" i="1"/>
  <c r="E9" i="7"/>
  <c r="E11" i="1"/>
  <c r="E17" i="1"/>
  <c r="AD11" i="1"/>
  <c r="AC11" i="1"/>
  <c r="AB11" i="1"/>
  <c r="E1" i="8"/>
  <c r="E30" i="1"/>
  <c r="E36" i="1"/>
  <c r="E28" i="1"/>
  <c r="E19" i="1"/>
  <c r="E32" i="1"/>
  <c r="E24" i="1"/>
  <c r="E43" i="1"/>
  <c r="E18" i="1"/>
  <c r="E35" i="1"/>
  <c r="E25" i="1"/>
  <c r="E34" i="1"/>
  <c r="E27" i="1"/>
  <c r="E23" i="1"/>
  <c r="E29" i="1"/>
  <c r="E38" i="1"/>
  <c r="E20" i="1"/>
  <c r="E31" i="1"/>
  <c r="E33" i="1"/>
  <c r="E42" i="1"/>
  <c r="E1" i="7"/>
  <c r="E22" i="1"/>
  <c r="E37" i="1"/>
  <c r="E26" i="1"/>
  <c r="E21" i="1"/>
  <c r="E39" i="1"/>
  <c r="N5" i="7"/>
  <c r="O5" i="1"/>
  <c r="W11" i="1"/>
  <c r="U4" i="1"/>
  <c r="O4" i="1"/>
  <c r="U5" i="1"/>
  <c r="AL16" i="1" l="1"/>
  <c r="AI16" i="1"/>
  <c r="AJ16" i="1"/>
  <c r="AF13" i="1"/>
  <c r="AF41" i="1"/>
  <c r="AJ41" i="1" s="1"/>
  <c r="AN41" i="1" s="1"/>
  <c r="AU41" i="1" s="1"/>
  <c r="AS41" i="1" s="1"/>
  <c r="AF40" i="1"/>
  <c r="AJ40" i="1" s="1"/>
  <c r="AN40" i="1" s="1"/>
  <c r="AU40" i="1" s="1"/>
  <c r="AS40" i="1" s="1"/>
  <c r="AF14" i="1"/>
  <c r="AI14" i="1" s="1"/>
  <c r="AF1" i="1"/>
  <c r="AF24" i="1"/>
  <c r="AJ24" i="1" s="1"/>
  <c r="AN24" i="1" s="1"/>
  <c r="AU24" i="1" s="1"/>
  <c r="AS24" i="1" s="1"/>
  <c r="X5" i="1"/>
  <c r="X4" i="1"/>
  <c r="AF20" i="1"/>
  <c r="AJ20" i="1" s="1"/>
  <c r="AN20" i="1" s="1"/>
  <c r="AU20" i="1" s="1"/>
  <c r="AS20" i="1" s="1"/>
  <c r="AF17" i="1"/>
  <c r="AJ17" i="1" s="1"/>
  <c r="AN17" i="1" s="1"/>
  <c r="AU17" i="1" s="1"/>
  <c r="AF25" i="1"/>
  <c r="AJ25" i="1" s="1"/>
  <c r="AN25" i="1" s="1"/>
  <c r="AU25" i="1" s="1"/>
  <c r="AS25" i="1" s="1"/>
  <c r="AF29" i="1"/>
  <c r="AJ29" i="1" s="1"/>
  <c r="AN29" i="1" s="1"/>
  <c r="AU29" i="1" s="1"/>
  <c r="AS29" i="1" s="1"/>
  <c r="AF21" i="1"/>
  <c r="AJ21" i="1" s="1"/>
  <c r="AN21" i="1" s="1"/>
  <c r="AU21" i="1" s="1"/>
  <c r="AS21" i="1" s="1"/>
  <c r="AF35" i="1"/>
  <c r="AJ35" i="1" s="1"/>
  <c r="AN35" i="1" s="1"/>
  <c r="AU35" i="1" s="1"/>
  <c r="AS35" i="1" s="1"/>
  <c r="AF33" i="1"/>
  <c r="AJ33" i="1" s="1"/>
  <c r="AN33" i="1" s="1"/>
  <c r="AU33" i="1" s="1"/>
  <c r="AS33" i="1" s="1"/>
  <c r="AF34" i="1"/>
  <c r="AJ34" i="1" s="1"/>
  <c r="AN34" i="1" s="1"/>
  <c r="AU34" i="1" s="1"/>
  <c r="AS34" i="1" s="1"/>
  <c r="AF43" i="1"/>
  <c r="AJ43" i="1" s="1"/>
  <c r="AN43" i="1" s="1"/>
  <c r="AU43" i="1" s="1"/>
  <c r="AS43" i="1" s="1"/>
  <c r="AF36" i="1"/>
  <c r="AJ36" i="1" s="1"/>
  <c r="AN36" i="1" s="1"/>
  <c r="AU36" i="1" s="1"/>
  <c r="AS36" i="1" s="1"/>
  <c r="AF19" i="1"/>
  <c r="AJ19" i="1" s="1"/>
  <c r="AN19" i="1" s="1"/>
  <c r="AU19" i="1" s="1"/>
  <c r="AS19" i="1" s="1"/>
  <c r="AF22" i="1"/>
  <c r="AJ22" i="1" s="1"/>
  <c r="AN22" i="1" s="1"/>
  <c r="AU22" i="1" s="1"/>
  <c r="AS22" i="1" s="1"/>
  <c r="AF18" i="1"/>
  <c r="AJ18" i="1" s="1"/>
  <c r="AN18" i="1" s="1"/>
  <c r="AU18" i="1" s="1"/>
  <c r="AS18" i="1" s="1"/>
  <c r="AF32" i="1"/>
  <c r="AJ32" i="1" s="1"/>
  <c r="AN32" i="1" s="1"/>
  <c r="AU32" i="1" s="1"/>
  <c r="AS32" i="1" s="1"/>
  <c r="AF23" i="1"/>
  <c r="AJ23" i="1" s="1"/>
  <c r="AN23" i="1" s="1"/>
  <c r="AU23" i="1" s="1"/>
  <c r="AS23" i="1" s="1"/>
  <c r="AF37" i="1"/>
  <c r="AJ37" i="1" s="1"/>
  <c r="AN37" i="1" s="1"/>
  <c r="AU37" i="1" s="1"/>
  <c r="AS37" i="1" s="1"/>
  <c r="AF26" i="1"/>
  <c r="AJ26" i="1" s="1"/>
  <c r="AN26" i="1" s="1"/>
  <c r="AU26" i="1" s="1"/>
  <c r="AS26" i="1" s="1"/>
  <c r="AF31" i="1"/>
  <c r="AJ31" i="1" s="1"/>
  <c r="AN31" i="1" s="1"/>
  <c r="AU31" i="1" s="1"/>
  <c r="AS31" i="1" s="1"/>
  <c r="AF39" i="1"/>
  <c r="AJ39" i="1" s="1"/>
  <c r="AN39" i="1" s="1"/>
  <c r="AU39" i="1" s="1"/>
  <c r="AS39" i="1" s="1"/>
  <c r="AF42" i="1"/>
  <c r="AJ42" i="1" s="1"/>
  <c r="AN42" i="1" s="1"/>
  <c r="AU42" i="1" s="1"/>
  <c r="AS42" i="1" s="1"/>
  <c r="AF27" i="1"/>
  <c r="AJ27" i="1" s="1"/>
  <c r="AN27" i="1" s="1"/>
  <c r="AU27" i="1" s="1"/>
  <c r="AS27" i="1" s="1"/>
  <c r="AF15" i="1"/>
  <c r="AF30" i="1"/>
  <c r="AJ30" i="1" s="1"/>
  <c r="AN30" i="1" s="1"/>
  <c r="AU30" i="1" s="1"/>
  <c r="AS30" i="1" s="1"/>
  <c r="AF38" i="1"/>
  <c r="AJ38" i="1" s="1"/>
  <c r="AN38" i="1" s="1"/>
  <c r="AU38" i="1" s="1"/>
  <c r="AS38" i="1" s="1"/>
  <c r="AF28" i="1"/>
  <c r="AJ28" i="1" s="1"/>
  <c r="AN28" i="1" s="1"/>
  <c r="AU28" i="1" s="1"/>
  <c r="AS28" i="1" s="1"/>
  <c r="W5" i="1"/>
  <c r="W4" i="1"/>
  <c r="AF11" i="1"/>
  <c r="AM16" i="1" l="1"/>
  <c r="AQ16" i="1" s="1"/>
  <c r="AR16" i="1" s="1"/>
  <c r="B20" i="5"/>
  <c r="AT17" i="1"/>
  <c r="AS17" i="1" s="1"/>
  <c r="AP15" i="1"/>
  <c r="AJ15" i="1"/>
  <c r="AL15" i="1"/>
  <c r="AK15" i="1"/>
  <c r="AI13" i="1"/>
  <c r="AK13" i="1"/>
  <c r="AJ13" i="1"/>
  <c r="AI15" i="1"/>
  <c r="AP11" i="1"/>
  <c r="AR11" i="1" s="1"/>
  <c r="AJ11" i="1"/>
  <c r="AJ14" i="1"/>
  <c r="AN14" i="1" s="1"/>
  <c r="AI11" i="1"/>
  <c r="AO15" i="1"/>
  <c r="AC4" i="1"/>
  <c r="AC5" i="1"/>
  <c r="AD5" i="1"/>
  <c r="AB5" i="1"/>
  <c r="Y5" i="1"/>
  <c r="AB4" i="1"/>
  <c r="Z4" i="1"/>
  <c r="N6" i="7" s="1"/>
  <c r="AD4" i="1"/>
  <c r="Y4" i="1"/>
  <c r="Z5" i="1"/>
  <c r="AN16" i="1" l="1"/>
  <c r="AU16" i="1" s="1"/>
  <c r="AL5" i="1"/>
  <c r="AL4" i="1"/>
  <c r="AK4" i="1"/>
  <c r="AN13" i="1"/>
  <c r="AU13" i="1" s="1"/>
  <c r="AN15" i="1"/>
  <c r="AK5" i="1"/>
  <c r="AN11" i="1"/>
  <c r="AM4" i="1"/>
  <c r="AM5" i="1"/>
  <c r="AQ15" i="1"/>
  <c r="AJ5" i="1"/>
  <c r="AO4" i="1"/>
  <c r="AO5" i="1"/>
  <c r="AP5" i="1"/>
  <c r="AP4" i="1"/>
  <c r="AJ4" i="1"/>
  <c r="L6" i="8"/>
  <c r="AF4" i="1"/>
  <c r="AF5" i="1"/>
  <c r="AI5" i="1"/>
  <c r="AI4" i="1"/>
  <c r="AT16" i="1" l="1"/>
  <c r="AS16" i="1" s="1"/>
  <c r="B21" i="5"/>
  <c r="AQ4" i="1"/>
  <c r="AQ5" i="1"/>
  <c r="AR15" i="1"/>
  <c r="AU14" i="1"/>
  <c r="AT14" i="1" s="1"/>
  <c r="AS14" i="1" s="1"/>
  <c r="AU11" i="1"/>
  <c r="AT11" i="1" s="1"/>
  <c r="AT13" i="1"/>
  <c r="AS13" i="1" s="1"/>
  <c r="AU12" i="1" l="1"/>
  <c r="AT12" i="1" l="1"/>
  <c r="AS12" i="1" s="1"/>
  <c r="AS11" i="1"/>
  <c r="AN4" i="1" l="1"/>
  <c r="AN5" i="1"/>
  <c r="Z9" i="1"/>
  <c r="AR4" i="1" l="1"/>
  <c r="AR5" i="1"/>
  <c r="AU15" i="1"/>
  <c r="AT15" i="1" s="1"/>
  <c r="AU5" i="1" l="1"/>
  <c r="AT4" i="1"/>
  <c r="AT5" i="1"/>
  <c r="AU4" i="1"/>
  <c r="AS15" i="1"/>
  <c r="AS5" i="1" l="1"/>
  <c r="AS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4"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sharedStrings.xml><?xml version="1.0" encoding="utf-8"?>
<sst xmlns="http://schemas.openxmlformats.org/spreadsheetml/2006/main" count="623" uniqueCount="342">
  <si>
    <t xml:space="preserve">Processus de saisie du fichier </t>
  </si>
  <si>
    <t xml:space="preserve">3/ Onglets bleu : saisie d'explications </t>
  </si>
  <si>
    <t>2/ Onglets orange : informations à compléter par les partenaires. Les données saisies sont celles qui feront foi</t>
  </si>
  <si>
    <t>1/ Onglets gris : synthèses : tableaux récapitulatifs, aides et définitions</t>
  </si>
  <si>
    <t xml:space="preserve">  Principes généraux</t>
  </si>
  <si>
    <t>Base de données des coûts du projet</t>
  </si>
  <si>
    <t>LOT 0</t>
  </si>
  <si>
    <t>Intitulé de l'activité</t>
  </si>
  <si>
    <t>Code</t>
  </si>
  <si>
    <t>Sous-tache</t>
  </si>
  <si>
    <t>Tache</t>
  </si>
  <si>
    <t>Lot</t>
  </si>
  <si>
    <t>Ecrire le libellé avec des phrases verbales</t>
  </si>
  <si>
    <t>ne pas modifier</t>
  </si>
  <si>
    <t>Renseigner le lotissement du projet.</t>
  </si>
  <si>
    <t>La catégorie d'entreprise et assimilé :
GE : Grande Entreprise; 
ETI : Entreprise de Taille Intermédiaire
PE : Petite et Moyenne Entreprise
* Définition : https://www.legifrance.gouv.fr/affichTexte.do?cidTexte=JORFTEXT000019961059
Les établissements de recherche (ER) regroupent notamment les EPST, les EPA et les EPIC.
Deux catégories d'aides sont proposées (si ce choix a été fait une première fois, ce financement s'appliquera durant toute la suite du Programme d'investissements d'avenir) :
- ER aidés à 50% sur les coûts complets
  Dans ce cas, dans l'onglet BDD veuillez renseigner les colonnes "Salaire cat" (O,P,Q,R,S), salaires chargés non environnés affectés au projet de tous les personnels (permanants et non permanants) 
- ER aidés à 100% sur les coûts marginaux.
  Dans ce cas, dans l'onglet BDD, veuillez renseigner  les colonnes "Salaire cat" (O,P,Q,R,S), salaires chargés non environnés affectés au projet ainsi que la colonne U "dont salaires personnels permanents (statutaires organismes publics)" (salaires chargés non environnés également)
On entend par « coût marginal » les dépenses réelles additionnelles et  les charges d’amortissement des équipements  spécifiques à la mise en oeuvre du projet. Les frais généraux ou indirects ne sont pas inclus dans ces dépenses réelles et sont calculés forfaitairement. 
Cependant, si l'activité issue du projet revêt un caractère concurentiel menant à la création de valeur, un établissement de recherche (EPIC, EPA, EPST) pourra être classé en "acteur soumis au secteur concurrentiel" (GE, ETI, PME).</t>
  </si>
  <si>
    <t>Statuts</t>
  </si>
  <si>
    <t xml:space="preserve">Statut d'entreprise (sens EU) </t>
  </si>
  <si>
    <t>Autres frais d'exploitation résultant directement de l'activité du projet.
Ce sont les coûts des instruments et du matériel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</si>
  <si>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Autres coûts</t>
  </si>
  <si>
    <t>Frais des déplacements liés à la réalisation du projet.
Frais réels dont les justificatifs seront à fournir. Ils doivent être prévus et exprimés en TTC.</t>
  </si>
  <si>
    <t>Frais de mission</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</si>
  <si>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</si>
  <si>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Coûts de refacturation interne</t>
  </si>
  <si>
    <t>Contribution aux amortissements</t>
  </si>
  <si>
    <t xml:space="preserve">La sous-traitance s’effectue entre entreprises différentes (= SIREN différents), y compris membres d’un même groupe.
Sont éligibles les coûts de la recherche contractuelle, des connaissances techniques et des brevets et les coûts des prestations de services utilisés exclusivement pour l'activité du projet.
</t>
  </si>
  <si>
    <t>Coûts de sous-traitance</t>
  </si>
  <si>
    <t xml:space="preserve">Les frais connexes sont les dépenses qui concourent à la réalisation du projet sans toutefois pouvoir être directement attribués à celui-ci.
Le montant forfaitaire de ces dépenses est calculé de la façon suivante :
• pour les EPA et EPST, à 4% des dépenses d'équipement (amortissements) + 8% des autres dépenses éligibles et retenues (soit hors équipement) ;
• pour les autres organismes (sociétés commerciales, EPICs, GIE, centres techniques, associations etc...), à 20% des salaires de personnel éligibles et retenus chargés non environnés. 
</t>
  </si>
  <si>
    <t>Frais connexes</t>
  </si>
  <si>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personnels de la fonction publique de l'Etat, des collectivités, territoriales et les charges sociales associées ne sont pas éligibles.
Ces dépenses sont à séparer et à inscrire dans le colonne "dont salaires personnels permanents (statutaires organismes publics)"</t>
    </r>
  </si>
  <si>
    <t>Salaires et charges</t>
  </si>
  <si>
    <t>Définition des différents types de nature des coûts</t>
  </si>
  <si>
    <t>Les coût éligibles sont définis comme les coûts d'investissements supplémentaires nécessaires pour :
- atteindre un niveau de protection de l'environnement supérieur au niveau requis par les normes communautaires concernées
- ou augmenter le niveau de protection de l’environnement découlant de l'activité en l’absence de normes de l’Union,
abstraction faite des bénéfices et des coûts d'exploitation. 
Les aides ne sont pas autorisées lorsque les investissements sont réalisés afin de garantir que les entreprises se conforment à des normes de l'Union déjà adoptées mais non encore entrées en vigueur , excepté lorsque l’aide est octroyée aux fins suivantes :
a) l'acquisition de nouveaux véhicules de transport routier, ferroviaire, fluvial et maritime conformes aux normes de l'Union adoptées, sous réserve que celles-ci ne soient pas entrées en vigueur avant la date d'acquisition des véhicules et qu'une fois obligatoires, elles ne s'appliquent pas à des véhicules déjà acquis ;
b) le post-équipement de véhicules existants destinés au transport routier, ferroviaire, fluvial et maritime, sous réserve que les normes de l'Union ne soient pas entrées en vigueur avant la date de mise en service de ces véhicules et qu'une fois devenues obligatoires, elles ne s'appliquent pas à ces derniers de façon rétroactive
Ils sont déterminés comme suit:
a) si les coûts de l'investissement dans la protection de l'environnement peuvent être identifiés comme investissement distinct dans les coûts d'investissement totaux, ces coûts liés à la protection de l'environnement constituent les coûts admissibles ;
b) dans tous les autres cas, les coûts de l'investissement dans la protection de l'environnement sont déterminés par référence à un investissement similaire, moins respectueux de l'environnement, qui aurait été plausible en l'absence d'aide. La différence entre les coûts des deux investissements représente les coûts liés à la protection de l'environnement et constitue les coûts admissibles.</t>
  </si>
  <si>
    <t>PE (Protection de l'Environnement)</t>
  </si>
  <si>
    <t>DE (Développement Expérimental)</t>
  </si>
  <si>
    <t>RI (Recherche Industrielle)</t>
  </si>
  <si>
    <t xml:space="preserve">Définition des catégories d'aide </t>
  </si>
  <si>
    <t>Homme.mois cat 1</t>
  </si>
  <si>
    <t>Homme.mois cat 2</t>
  </si>
  <si>
    <t>Homme.mois cat 3</t>
  </si>
  <si>
    <t>Homme.mois cat 4</t>
  </si>
  <si>
    <t>Homme.mois cat 5</t>
  </si>
  <si>
    <t>Total Homme.mois</t>
  </si>
  <si>
    <t>Salaires chargés non environnés</t>
  </si>
  <si>
    <t>dont salaires personnels permanents</t>
  </si>
  <si>
    <t>dont salaires sans pers. permanents</t>
  </si>
  <si>
    <t>Coût de refacturation interne</t>
  </si>
  <si>
    <t>Frais de Mission</t>
  </si>
  <si>
    <t>Commentaires</t>
  </si>
  <si>
    <t>Total des coûts</t>
  </si>
  <si>
    <t>Total coûts RI</t>
  </si>
  <si>
    <t>Total coûts DE</t>
  </si>
  <si>
    <t>Total coûts PE</t>
  </si>
  <si>
    <t>Coûts PE admissibles</t>
  </si>
  <si>
    <t>Total coûts éligibles et retenus</t>
  </si>
  <si>
    <t>Total coûts non éligibles</t>
  </si>
  <si>
    <t>Total coûts non retenus</t>
  </si>
  <si>
    <t>Total coûts PE non admissibles</t>
  </si>
  <si>
    <t>Total coûts non éligibles et non retenus</t>
  </si>
  <si>
    <t>Subventions</t>
  </si>
  <si>
    <t>Avances remboursables</t>
  </si>
  <si>
    <t>Aide totale</t>
  </si>
  <si>
    <t>TOTAL =&gt;</t>
  </si>
  <si>
    <t>Partenaire</t>
  </si>
  <si>
    <t>Semestre</t>
  </si>
  <si>
    <t>Salaires cat 1</t>
  </si>
  <si>
    <t>Salaires cat 2</t>
  </si>
  <si>
    <t>Salaires cat 3</t>
  </si>
  <si>
    <t>Salaires cat 4</t>
  </si>
  <si>
    <t>Salaires cat 5</t>
  </si>
  <si>
    <t>dont salaires personnels permanents (statutaires organismes publics)</t>
  </si>
  <si>
    <t>Frais connexes (forfaitaires)</t>
  </si>
  <si>
    <t>Classification</t>
  </si>
  <si>
    <t>Taux aide</t>
  </si>
  <si>
    <t>Total coûts PE admissibles</t>
  </si>
  <si>
    <t>PE</t>
  </si>
  <si>
    <t>Non</t>
  </si>
  <si>
    <t>Subvention et avances remboursables</t>
  </si>
  <si>
    <t>ME</t>
  </si>
  <si>
    <t>GE</t>
  </si>
  <si>
    <t>Oui</t>
  </si>
  <si>
    <t>Taux PE</t>
  </si>
  <si>
    <t>Taux DE</t>
  </si>
  <si>
    <t>Taux RI</t>
  </si>
  <si>
    <t>Part d'AR</t>
  </si>
  <si>
    <t>Catégorie</t>
  </si>
  <si>
    <t>Coûts PE totaux</t>
  </si>
  <si>
    <t>Taux d'aide PE</t>
  </si>
  <si>
    <t>Taux d'aide DE</t>
  </si>
  <si>
    <t>Taux d'aide RI</t>
  </si>
  <si>
    <t>Part d'avance remboursable</t>
  </si>
  <si>
    <t xml:space="preserve">Forme de l'aide </t>
  </si>
  <si>
    <t>Catégorie d'entreprise ou assimilé</t>
  </si>
  <si>
    <t>Nom court du partenaire</t>
  </si>
  <si>
    <t>Nombres de partenaires (cible : max 5)</t>
  </si>
  <si>
    <t>Projet coopératif</t>
  </si>
  <si>
    <t>Durée (mois)</t>
  </si>
  <si>
    <t>Nom Projet</t>
  </si>
  <si>
    <t>Acronyme AAP</t>
  </si>
  <si>
    <t>Description du projet et des partenaires</t>
  </si>
  <si>
    <t>Nom Livrable</t>
  </si>
  <si>
    <t>Etape-clef pressentie</t>
  </si>
  <si>
    <t>Base de données des coûts prévisionnels du projet</t>
  </si>
  <si>
    <t>5 profils à proposer, entre Cat 1 (haut niveau hiérachique) et cat 5 (plus bas niveau hiérarchique)</t>
  </si>
  <si>
    <t>Salaires  : mensuels, bruts, non environnés</t>
  </si>
  <si>
    <t>NR</t>
  </si>
  <si>
    <t>sera validé par l'ADEME</t>
  </si>
  <si>
    <t xml:space="preserve">SOUS-TOTAL =&gt;
(lignes filtrées) </t>
  </si>
  <si>
    <t>cellules à renseigner</t>
  </si>
  <si>
    <t>cellules automatiques (à ne pas modifier)</t>
  </si>
  <si>
    <t>Sous-tâche</t>
  </si>
  <si>
    <t>Désignation et description
de l'équipement amorti</t>
  </si>
  <si>
    <r>
      <t>Valeur d'acquisition (</t>
    </r>
    <r>
      <rPr>
        <sz val="10"/>
        <color indexed="9"/>
        <rFont val="Arial"/>
        <family val="2"/>
      </rPr>
      <t>€)</t>
    </r>
  </si>
  <si>
    <t>Durée d'amortissement comptable (en semestre)</t>
  </si>
  <si>
    <r>
      <t>Amortissement semestriel (</t>
    </r>
    <r>
      <rPr>
        <sz val="10"/>
        <color indexed="9"/>
        <rFont val="Arial"/>
        <family val="2"/>
      </rPr>
      <t>€)</t>
    </r>
  </si>
  <si>
    <t xml:space="preserve">Nombre de semestre d'utilisation dans le cadre du projet </t>
  </si>
  <si>
    <r>
      <t>Part d'utilisation affectée au projet (</t>
    </r>
    <r>
      <rPr>
        <sz val="10"/>
        <color indexed="9"/>
        <rFont val="Arial"/>
        <family val="2"/>
      </rPr>
      <t>%)</t>
    </r>
  </si>
  <si>
    <t>Tableau d'amortissement d'équipements de R&amp;D</t>
  </si>
  <si>
    <t>en semestre</t>
  </si>
  <si>
    <t>TOTAL onglet amortissement</t>
  </si>
  <si>
    <t>Vérification</t>
  </si>
  <si>
    <t>(doivent être égaux)</t>
  </si>
  <si>
    <t>Semestre d'utilisation</t>
  </si>
  <si>
    <t>Nature des coûts</t>
  </si>
  <si>
    <t>Fournisseur pressenti</t>
  </si>
  <si>
    <t>Montant unitaire (€)</t>
  </si>
  <si>
    <t>Description des coûts</t>
  </si>
  <si>
    <t>Semestre d'acquisition</t>
  </si>
  <si>
    <t>Description bien acheté</t>
  </si>
  <si>
    <t>Localisation (France; Autre (préciser))</t>
  </si>
  <si>
    <t>SEM01</t>
  </si>
  <si>
    <t>code detail</t>
  </si>
  <si>
    <t>Copier / coller ce tableau dans le dossier de candidature</t>
  </si>
  <si>
    <t>Étiquettes de colonnes</t>
  </si>
  <si>
    <t>Valeurs</t>
  </si>
  <si>
    <t>Total général</t>
  </si>
  <si>
    <t>Salaires chargés environnés :</t>
  </si>
  <si>
    <t>dont salaires permanents :</t>
  </si>
  <si>
    <t>Frais connexes (forfaitaires) :</t>
  </si>
  <si>
    <t>Coûts de sous-traitance :</t>
  </si>
  <si>
    <t>Frais de mission :</t>
  </si>
  <si>
    <t>Coûts de refacturation interne :</t>
  </si>
  <si>
    <t>Autres coûts :</t>
  </si>
  <si>
    <t>Total des coûts :</t>
  </si>
  <si>
    <t>Étiquettes de lignes</t>
  </si>
  <si>
    <t>Contribution aux amortissements TOTALE (€)</t>
  </si>
  <si>
    <t>Date de début (indicatif)</t>
  </si>
  <si>
    <t>Somme de Total coûts éligibles et retenus</t>
  </si>
  <si>
    <t>Somme de Aide totale</t>
  </si>
  <si>
    <t>Somme de Total des coûts</t>
  </si>
  <si>
    <t>Somme de Avances remboursables</t>
  </si>
  <si>
    <t>Somme de Subventions</t>
  </si>
  <si>
    <t>Salariés dans l'entreprise (SIRET)</t>
  </si>
  <si>
    <t xml:space="preserve">Légende : </t>
  </si>
  <si>
    <t>AAP</t>
  </si>
  <si>
    <t>Projet</t>
  </si>
  <si>
    <t>Coordonnateur</t>
  </si>
  <si>
    <t>Nombre de partenaires</t>
  </si>
  <si>
    <t>Ingénieur instructeur</t>
  </si>
  <si>
    <t>Chef de projet instruction</t>
  </si>
  <si>
    <t>Chef de projet suivi</t>
  </si>
  <si>
    <t/>
  </si>
  <si>
    <t>Total</t>
  </si>
  <si>
    <t>Coûts totaux (€)</t>
  </si>
  <si>
    <t>Coûts éligibles et retenus (€)</t>
  </si>
  <si>
    <t>Coûts RI (€)</t>
  </si>
  <si>
    <t>Coûts DE (€)</t>
  </si>
  <si>
    <t>Coûts PE (€)</t>
  </si>
  <si>
    <t>Coûts PE admissibles (€)</t>
  </si>
  <si>
    <t>Subventions (€)</t>
  </si>
  <si>
    <t>Avances remboursables (€)</t>
  </si>
  <si>
    <t>Aide totale (€)</t>
  </si>
  <si>
    <t>Part de l'aide en avances remboursables</t>
  </si>
  <si>
    <t>Part de l'aide en subvention</t>
  </si>
  <si>
    <t>Taux d'aide (sur éligibles et retenus)</t>
  </si>
  <si>
    <t>Taux d'aide (sur coûts totaux)</t>
  </si>
  <si>
    <t>Dépenses éligibles en subvention (€)</t>
  </si>
  <si>
    <t>Dépenses éligilbes en avances remb (€)</t>
  </si>
  <si>
    <t>Somme de Total coûts RI</t>
  </si>
  <si>
    <t>Somme de Total coûts DE</t>
  </si>
  <si>
    <t>Somme de Total coûts PE</t>
  </si>
  <si>
    <t>Somme de Total coûts PE admissibles</t>
  </si>
  <si>
    <t>(vide)</t>
  </si>
  <si>
    <t>Coordonateur</t>
  </si>
  <si>
    <t>Coûts totaux</t>
  </si>
  <si>
    <t>Assiette retenue des coûts éligibles</t>
  </si>
  <si>
    <t>Montant de subventions</t>
  </si>
  <si>
    <t>Montant d'avance remboursable</t>
  </si>
  <si>
    <t>Montant d'aide totale</t>
  </si>
  <si>
    <t xml:space="preserve"> % subvention/aide totale</t>
  </si>
  <si>
    <t xml:space="preserve"> % d'avance remboursable/aide total</t>
  </si>
  <si>
    <t xml:space="preserve"> % aide totale/ coûts éligibles et retenus</t>
  </si>
  <si>
    <t xml:space="preserve"> Effet levier</t>
  </si>
  <si>
    <t xml:space="preserve">Total Homme.mois </t>
  </si>
  <si>
    <t xml:space="preserve">
</t>
  </si>
  <si>
    <t>Définition de la « collaboration effective » :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
1/ · entre des entreprises parmi lesquelles figure au moins une PME, ou est mené dans au moins deux États membres, ou dans un État membre et une partie contractante à l'accord l'EEE, et aucune entreprise unique ne supporte seule plus de 70 % des coûts admissibles, ou
2/ · entre une entreprise et un ou plusieurs organismes de recherche et de diffusion des connaissances, et ce ou ces derniers supportent au moins 10 % des coûts admissibles et ont le droit de publier les résultats de leurs propres recherches;</t>
  </si>
  <si>
    <t>Les taux finaux sont fixés par l'équipe instructrice (sans dépasser les taux permis par l'Europe)</t>
  </si>
  <si>
    <t>SEM02</t>
  </si>
  <si>
    <t>TOTAL onglet Description des coûts</t>
  </si>
  <si>
    <t>ACTUALISER LES TABLEAUX (ALT + F5 en cliquant sur les tableaux)</t>
  </si>
  <si>
    <t>A actualiser (ALT + F5 en cliquant sur le tableau)</t>
  </si>
  <si>
    <t>Partenaires</t>
  </si>
  <si>
    <t>Total (€)</t>
  </si>
  <si>
    <t>calculée automatiquement avec les infos de la BDD</t>
  </si>
  <si>
    <t>Forme de l'aide</t>
  </si>
  <si>
    <t>zones à copier "en valeurs" dans ICARE</t>
  </si>
  <si>
    <t>Aide PE sur coûts PE totaux</t>
  </si>
  <si>
    <t>(Tous)</t>
  </si>
  <si>
    <t>Coût de la solution de référence pour les projets PE</t>
  </si>
  <si>
    <t>Salaires chargés non environnés :</t>
  </si>
  <si>
    <t>Total Frais connexes (forfaitaires) :</t>
  </si>
  <si>
    <t>Total Coûts de sous-traitance :</t>
  </si>
  <si>
    <t>Total Coûts de refacturation interne :</t>
  </si>
  <si>
    <t>Total Frais de mission :</t>
  </si>
  <si>
    <t>Total Autres coûts :</t>
  </si>
  <si>
    <t>Total Coûts totaux</t>
  </si>
  <si>
    <t>DE</t>
  </si>
  <si>
    <t>RI</t>
  </si>
  <si>
    <t>Partenaire 1</t>
  </si>
  <si>
    <t>Partenaire 2</t>
  </si>
  <si>
    <t>LOT 1</t>
  </si>
  <si>
    <t>Dont salaires personnels permanents :</t>
  </si>
  <si>
    <t>LOT 2</t>
  </si>
  <si>
    <t>Cible : max 100 lignes (recommandation : 20-30 lignes)</t>
  </si>
  <si>
    <t>XX</t>
  </si>
  <si>
    <t>YY</t>
  </si>
  <si>
    <t>ZZ</t>
  </si>
  <si>
    <t xml:space="preserve">Part des ETP projet / ETP entreprise </t>
  </si>
  <si>
    <t>&lt; 15 000€</t>
  </si>
  <si>
    <t>&lt; 30%</t>
  </si>
  <si>
    <t>&lt; 7%</t>
  </si>
  <si>
    <t>&lt; 800€/homme.mois</t>
  </si>
  <si>
    <t>Critère collaboratif</t>
  </si>
  <si>
    <t>Salaires</t>
  </si>
  <si>
    <t>Coûts de gestion de projet</t>
  </si>
  <si>
    <t>Coûts de sous traitance</t>
  </si>
  <si>
    <t>Frais Connexes</t>
  </si>
  <si>
    <t xml:space="preserve">          Part des coûts portés par les entreprises</t>
  </si>
  <si>
    <t>&lt; 70%</t>
  </si>
  <si>
    <t xml:space="preserve">          Part des coûts portés par les organismes de recherche</t>
  </si>
  <si>
    <t>&gt; 10%</t>
  </si>
  <si>
    <t>RI + DE + PE admissibles</t>
  </si>
  <si>
    <t>Calcul des coûts éligibles et retenus</t>
  </si>
  <si>
    <t>Calcul des coûts non éligibles et non retenus</t>
  </si>
  <si>
    <t>NE + NR + PE non admissibles</t>
  </si>
  <si>
    <t xml:space="preserve">Comparaison onglets BDD et Ammortissement/Description des coûts </t>
  </si>
  <si>
    <t>Total des dépenses pour l'opération en €</t>
  </si>
  <si>
    <t>Code detail</t>
  </si>
  <si>
    <t>Projet collaboratif</t>
  </si>
  <si>
    <t>Collaboratif</t>
  </si>
  <si>
    <t>TOTAL onglet BDD (coûts de sous-traitance, Frais de missions, refacturation interne, autres coûts)</t>
  </si>
  <si>
    <t xml:space="preserve">TOTAL onglet BDD (coûts d'amortissement) </t>
  </si>
  <si>
    <t>calcul des frais</t>
  </si>
  <si>
    <t>Vérification
(doivent être égaux)</t>
  </si>
  <si>
    <t>Salaires chargés non environnés sans pers. permanents</t>
  </si>
  <si>
    <t>Total Salaires chargés non environnés sans pers. permanents</t>
  </si>
  <si>
    <t>Salaires chargés non environnés personnels permanents</t>
  </si>
  <si>
    <t>Total Salaires chargés non environnés personnels permanents</t>
  </si>
  <si>
    <t>Ligne "template" en cas de besoin ci-dessus.</t>
  </si>
  <si>
    <t>Contrôles à opérer</t>
  </si>
  <si>
    <t>NE</t>
  </si>
  <si>
    <t>Coûts RDI</t>
  </si>
  <si>
    <t>Total DE</t>
  </si>
  <si>
    <t>Total RI</t>
  </si>
  <si>
    <t>Coûts non retenus et non éligibles</t>
  </si>
  <si>
    <t>Total Coûts non retenus et non éligibles en €</t>
  </si>
  <si>
    <t>Total Coûts RDI en €</t>
  </si>
  <si>
    <t>Tache de DE</t>
  </si>
  <si>
    <t>Tache de RI</t>
  </si>
  <si>
    <t>Achat d'équipement</t>
  </si>
  <si>
    <t>Outil</t>
  </si>
  <si>
    <t>LOT 3</t>
  </si>
  <si>
    <r>
      <t xml:space="preserve">Les aides relèvent intégralement des catégories suivantes :
</t>
    </r>
    <r>
      <rPr>
        <b/>
        <sz val="14"/>
        <rFont val="Arial"/>
        <family val="2"/>
      </rPr>
      <t>"Développement expérimental",</t>
    </r>
    <r>
      <rPr>
        <sz val="14"/>
        <rFont val="Arial"/>
        <family val="2"/>
      </rPr>
      <t xml:space="preserve"> définie comme l'acquisition, l'association, la mise en forme et l'utilisation de connaissances et d'aptitudes scientifiques, technologiques, commerciales et autres pertinentes en vue de développer des produits, des procédés ou des services nouveaux ou améliorés.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
</t>
    </r>
  </si>
  <si>
    <r>
      <t xml:space="preserve">Les aides sont octroyées directement à l’organisme de recherche et de diffusion des connaissances et ne comportent pas l’octroi direct d’une aide sans rapport avec la recherche visée.
Les aides relèvent intégralement de la catégorie suivante :
- </t>
    </r>
    <r>
      <rPr>
        <b/>
        <sz val="14"/>
        <rFont val="Arial"/>
        <family val="2"/>
      </rPr>
      <t>"Recherche industrielle",</t>
    </r>
    <r>
      <rPr>
        <sz val="14"/>
        <rFont val="Arial"/>
        <family val="2"/>
      </rPr>
      <t xml:space="preserve"> définie comme la recherche planifiée ou des enquêtes critiques visant à acquérir de nouvelles connaissances et aptitudes en vue de mettre au point de nouveaux produits, procédés ou services, ou d'entraîner une amélioration notable de produits, procédés ou services existants. 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
</t>
    </r>
  </si>
  <si>
    <t>Sous-traitance à X</t>
  </si>
  <si>
    <t>CdP IA : Lors de la copie dans l'annexe B, penser à transférer manuellement les salaires des personnels permanents, si existants, dans la colonne NE, et/ou ajouter les coûts de la solution de référence si existante en colonne NE</t>
  </si>
  <si>
    <t>Contribution aux amortissements (projet d'innovation)</t>
  </si>
  <si>
    <t>Contributions aux amortissements (projet d'innovation)</t>
  </si>
  <si>
    <t>Informations supplémentaires</t>
  </si>
  <si>
    <t>RD (Relance Durable)</t>
  </si>
  <si>
    <t>Taux d'aide RD</t>
  </si>
  <si>
    <t>Tache de RD</t>
  </si>
  <si>
    <t>Equipements productifs</t>
  </si>
  <si>
    <t>Pour les projets d'industrialisation, l'ensemble des achats d'équipements, machines ou engins nécéssaires à la réalisation du projet.</t>
  </si>
  <si>
    <t>Total coûts RD</t>
  </si>
  <si>
    <t>Total coût RD</t>
  </si>
  <si>
    <t>Equipement Productif (projet d'industrialisation)</t>
  </si>
  <si>
    <t>RD</t>
  </si>
  <si>
    <t>Total RD en €</t>
  </si>
  <si>
    <t>Somme de Equipement Productif (projet d'industrialisation)</t>
  </si>
  <si>
    <t>Total Somme de Equipement Productif (projet d'industrialisation)</t>
  </si>
  <si>
    <t>Coûts RD (€)</t>
  </si>
  <si>
    <t>Rappel - Taux d'aide maximaux - Cas des régimes d'aide RDI et Relance Durable</t>
  </si>
  <si>
    <t>Taux RD</t>
  </si>
  <si>
    <t>Equipement productif</t>
  </si>
  <si>
    <t>Equipement Productif</t>
  </si>
  <si>
    <t>Les coûts éligibles sont exclusivement les coûts d’investissement dans des actifs corporels («actifs corporels»: les actifs consistant en des machines et équipements) et incorporels («actifs incorporels»: les actifs n'ayant aucune forme physique ni financière tels que les brevets, les licences, le savoir-faire ou d'autres types de propriété intellectuelle), pour des activités industrielles.</t>
  </si>
  <si>
    <t xml:space="preserve">Coûts des instruments et du matériel amortis comptablement utilisés pour le projet.
Seuls les coûts d'amortissements correspondant à la durée du projet, calculés conformément aux pratiques comptables, sont admissibles.
Pour les projets d'industrialisation, les équipements productifs non amortis comptablement sont à indiquer dans la colonne "équipement productif"
</t>
  </si>
  <si>
    <t>Pour les projets d'innovation, pour chaque tâche faisant l'objet d'une demande d'aide sur les coûts d'amortissement, merci de saisir une ligne dans le tableau ci-dessous.
Les coûts saisis dans cet onglet seront automatiquement affichés dans l'onglet BDD.
Pour les projets d'industrialisation, merci d'intégrer les tâches d'équipements productifs si non amortis comptablement directement dans l'onglet BDD dans la colonne associée et de les indiquer dans l’onglet Description des coûts sous la nature « Equipement productif ».</t>
  </si>
  <si>
    <r>
      <t>Les coûts concernés dans cet onglet sont issus des 4 natures de coûts suivantes : "sous-traitance", "refacturation interne", "frais de mission", et "autres coûts", "equipements productifs". Ces coûts seront automatiquement affichés dans l'onglet BDD, au sein des colonnes correspondantes à chaque nature de coûts.
En cas de 2 coûts de même nature pour un même Lot/Sous-lot/Tâche/Partenaire/Semestre, une modification manuelle sera à apporter dans l'onglet BDD. (</t>
    </r>
    <r>
      <rPr>
        <i/>
        <sz val="11"/>
        <color theme="1"/>
        <rFont val="Calibri"/>
        <family val="2"/>
        <scheme val="minor"/>
      </rPr>
      <t>Exemple : Le partenaire 1 présente sur le Semestre 1, et pour le même Lot/Sous-Lot/Tâche, deux coûts de sous-traitance distincts.</t>
    </r>
    <r>
      <rPr>
        <sz val="11"/>
        <color theme="1"/>
        <rFont val="Calibri"/>
        <family val="2"/>
        <scheme val="minor"/>
      </rPr>
      <t>)</t>
    </r>
  </si>
  <si>
    <t>Pour les projets d'investissement (augmentation des capacités de production, modernisation d'usine…) : Les achats d'équipements non amortis sont a intégrer dans la colonne "Equipement Productif (projet d'industrialisation)" de l'onglet BDD.
Par ailleurs le cumul des régimes Relance Durable et RDI ne sera possible que pour les projets d'innovation.</t>
  </si>
  <si>
    <t>Tache de PE</t>
  </si>
  <si>
    <t xml:space="preserve">Surcoût de séchoirs continus </t>
  </si>
  <si>
    <t>Salaires chargés non environnés sans pers. permanents LOT 0</t>
  </si>
  <si>
    <t>Salaires chargés non environnés personnels permanents LOT 0</t>
  </si>
  <si>
    <t>Frais connexes (forfaitaires) : LOT 0</t>
  </si>
  <si>
    <t>Coûts de sous-traitance : LOT 0</t>
  </si>
  <si>
    <t>Coûts de refacturation interne : LOT 0</t>
  </si>
  <si>
    <t>Frais de mission : LOT 0</t>
  </si>
  <si>
    <t>Somme de Equipement Productif (projet d'industrialisation) LOT 0</t>
  </si>
  <si>
    <t>Autres coûts : LOT 0</t>
  </si>
  <si>
    <t>Coûts totaux LOT 0</t>
  </si>
  <si>
    <t>Salaires chargés non environnés sans pers. permanents LOT 1</t>
  </si>
  <si>
    <t>Salaires chargés non environnés personnels permanents LOT 1</t>
  </si>
  <si>
    <t>Frais connexes (forfaitaires) : LOT 1</t>
  </si>
  <si>
    <t>Coûts de sous-traitance : LOT 1</t>
  </si>
  <si>
    <t>Coûts de refacturation interne : LOT 1</t>
  </si>
  <si>
    <t>Frais de mission : LOT 1</t>
  </si>
  <si>
    <t>Somme de Equipement Productif (projet d'industrialisation) LOT 1</t>
  </si>
  <si>
    <t>Autres coûts : LOT 1</t>
  </si>
  <si>
    <t>Coûts totaux LOT 1</t>
  </si>
  <si>
    <t>Salaires chargés non environnés sans pers. permanents LOT 2</t>
  </si>
  <si>
    <t>Salaires chargés non environnés personnels permanents LOT 2</t>
  </si>
  <si>
    <t>Frais connexes (forfaitaires) : LOT 2</t>
  </si>
  <si>
    <t>Coûts de sous-traitance : LOT 2</t>
  </si>
  <si>
    <t>Coûts de refacturation interne : LOT 2</t>
  </si>
  <si>
    <t>Frais de mission : LOT 2</t>
  </si>
  <si>
    <t>Somme de Equipement Productif (projet d'industrialisation) LOT 2</t>
  </si>
  <si>
    <t>Autres coûts : LOT 2</t>
  </si>
  <si>
    <t>Coûts totaux LOT 2</t>
  </si>
  <si>
    <t>Coûts PE</t>
  </si>
  <si>
    <t>Total Coûts PE en €</t>
  </si>
  <si>
    <t>Salaires chargés non environnés sans pers. permanents LOT 3</t>
  </si>
  <si>
    <t>Salaires chargés non environnés personnels permanents LOT 3</t>
  </si>
  <si>
    <t>Frais connexes (forfaitaires) : LOT 3</t>
  </si>
  <si>
    <t>Coûts de sous-traitance : LOT 3</t>
  </si>
  <si>
    <t>Coûts de refacturation interne : LOT 3</t>
  </si>
  <si>
    <t>Frais de mission : LOT 3</t>
  </si>
  <si>
    <t>Somme de Equipement Productif (projet d'industrialisation) LOT 3</t>
  </si>
  <si>
    <t>Autres coûts : LOT 3</t>
  </si>
  <si>
    <t>Coûts totaux LOT 3</t>
  </si>
  <si>
    <t>v4.1 - 2022 05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</si>
</sst>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0.0%"/>
    <numFmt numFmtId="165" formatCode="_-* #,##0\ &quot;€&quot;_-;\-* #,##0\ &quot;€&quot;_-;_-* &quot;-&quot;??\ &quot;€&quot;_-;_-@_-"/>
    <numFmt numFmtId="166" formatCode="_-* #,##0\ _€_-;\-* #,##0\ _€_-;_-* &quot;-&quot;\ _€_-;_-@_-"/>
    <numFmt numFmtId="167" formatCode="_-* #,##0\ _€_-;\-* #,##0\ _€_-;_-* &quot;-&quot;??\ _€_-;_-@_-"/>
    <numFmt numFmtId="168" formatCode="#,##0\ &quot;€&quot;"/>
    <numFmt numFmtId="169" formatCode="_-* #,##0_-;\-* #,##0_-;_-* &quot;-&quot;??_-;_-@_-"/>
    <numFmt numFmtId="170" formatCode="0.0;;;"/>
    <numFmt numFmtId="171" formatCode="0%;;;"/>
    <numFmt numFmtId="172" formatCode="_-* #,##0.00\ _€_-;\-* #,##0.00\ _€_-;_-* &quot;-&quot;??\ _€_-;_-@_-"/>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sz val="10"/>
      <color indexed="9"/>
      <name val="Arial"/>
      <family val="2"/>
    </font>
    <font>
      <b/>
      <sz val="10"/>
      <color indexed="9"/>
      <name val="Calibri"/>
      <family val="2"/>
    </font>
    <font>
      <b/>
      <sz val="10"/>
      <name val="Calibri"/>
      <family val="2"/>
    </font>
    <font>
      <sz val="10"/>
      <name val="Calibri"/>
      <family val="2"/>
    </font>
    <font>
      <b/>
      <sz val="12"/>
      <color indexed="10"/>
      <name val="Arial"/>
      <family val="2"/>
    </font>
    <font>
      <b/>
      <u/>
      <sz val="10"/>
      <name val="Calibri"/>
      <family val="2"/>
    </font>
    <font>
      <b/>
      <sz val="10"/>
      <color theme="6" tint="-0.499984740745262"/>
      <name val="Calibri"/>
      <family val="2"/>
    </font>
    <font>
      <b/>
      <sz val="10"/>
      <color rgb="FFFF0000"/>
      <name val="Calibri"/>
      <family val="2"/>
      <scheme val="minor"/>
    </font>
    <font>
      <b/>
      <sz val="10"/>
      <color theme="0"/>
      <name val="Calibri"/>
      <family val="2"/>
      <scheme val="minor"/>
    </font>
    <font>
      <sz val="10"/>
      <name val="Calibri"/>
      <family val="2"/>
      <scheme val="minor"/>
    </font>
    <font>
      <b/>
      <sz val="10"/>
      <name val="Calibri"/>
      <family val="2"/>
      <scheme val="minor"/>
    </font>
    <font>
      <b/>
      <sz val="11"/>
      <color indexed="10"/>
      <name val="Arial"/>
      <family val="2"/>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b/>
      <sz val="16"/>
      <color rgb="FFFF0000"/>
      <name val="Calibri"/>
      <family val="2"/>
      <scheme val="minor"/>
    </font>
    <font>
      <b/>
      <sz val="14"/>
      <color rgb="FFFF0000"/>
      <name val="Calibri"/>
      <family val="2"/>
    </font>
    <font>
      <sz val="12"/>
      <color rgb="FFFF0000"/>
      <name val="Arial"/>
      <family val="2"/>
    </font>
    <font>
      <sz val="10"/>
      <color theme="1"/>
      <name val="Arial"/>
      <family val="2"/>
    </font>
    <font>
      <sz val="8"/>
      <name val="Calibri"/>
      <family val="2"/>
      <scheme val="minor"/>
    </font>
    <font>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49998474074526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s>
  <borders count="63">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342">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0" fontId="14" fillId="0" borderId="1" xfId="0" applyFont="1" applyBorder="1" applyAlignment="1">
      <alignment vertical="top" wrapText="1"/>
    </xf>
    <xf numFmtId="0" fontId="16" fillId="0" borderId="0" xfId="0" applyFont="1"/>
    <xf numFmtId="0" fontId="13" fillId="8" borderId="1" xfId="0" applyFont="1" applyFill="1" applyBorder="1" applyAlignment="1">
      <alignment vertical="center" wrapText="1"/>
    </xf>
    <xf numFmtId="0" fontId="3" fillId="7" borderId="6" xfId="0" applyFont="1" applyFill="1" applyBorder="1" applyAlignment="1">
      <alignment horizontal="center" vertical="center" wrapText="1"/>
    </xf>
    <xf numFmtId="0" fontId="3" fillId="7" borderId="6" xfId="0" applyFont="1" applyFill="1" applyBorder="1" applyAlignment="1">
      <alignment horizontal="center" vertical="center"/>
    </xf>
    <xf numFmtId="9" fontId="3" fillId="7" borderId="6" xfId="3"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3" fillId="0" borderId="6" xfId="0" applyFont="1" applyBorder="1" applyAlignment="1" applyProtection="1">
      <alignment horizontal="center" vertical="center" wrapText="1"/>
      <protection locked="0"/>
    </xf>
    <xf numFmtId="0" fontId="19" fillId="0" borderId="6" xfId="0" applyFont="1" applyBorder="1" applyAlignment="1" applyProtection="1">
      <alignment vertical="center"/>
      <protection locked="0"/>
    </xf>
    <xf numFmtId="0" fontId="19" fillId="0" borderId="6"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43" fontId="1" fillId="0" borderId="1" xfId="1" applyBorder="1" applyAlignment="1" applyProtection="1">
      <alignment vertical="center" wrapText="1"/>
      <protection locked="0"/>
    </xf>
    <xf numFmtId="165" fontId="1" fillId="0" borderId="1" xfId="2" applyNumberFormat="1" applyBorder="1" applyAlignment="1" applyProtection="1">
      <alignment horizontal="center" vertical="center"/>
      <protection locked="0"/>
    </xf>
    <xf numFmtId="167" fontId="3" fillId="0" borderId="1" xfId="1" applyNumberFormat="1" applyFont="1" applyBorder="1" applyAlignment="1" applyProtection="1">
      <alignment horizontal="center" vertical="center"/>
      <protection locked="0"/>
    </xf>
    <xf numFmtId="0" fontId="3" fillId="0" borderId="1" xfId="4" applyBorder="1" applyAlignment="1" applyProtection="1">
      <alignment vertical="center" wrapText="1"/>
      <protection locked="0"/>
    </xf>
    <xf numFmtId="9" fontId="19" fillId="0" borderId="1" xfId="0" applyNumberFormat="1" applyFont="1" applyBorder="1" applyAlignment="1" applyProtection="1">
      <alignment vertical="center"/>
      <protection locked="0"/>
    </xf>
    <xf numFmtId="168" fontId="19" fillId="0" borderId="1" xfId="1" applyNumberFormat="1" applyFont="1" applyFill="1" applyBorder="1" applyAlignment="1" applyProtection="1">
      <alignment vertical="center"/>
      <protection locked="0"/>
    </xf>
    <xf numFmtId="168" fontId="19" fillId="0" borderId="1" xfId="0" applyNumberFormat="1" applyFont="1" applyBorder="1" applyAlignment="1" applyProtection="1">
      <alignment vertical="center"/>
      <protection locked="0"/>
    </xf>
    <xf numFmtId="168" fontId="3" fillId="10" borderId="8" xfId="0" applyNumberFormat="1" applyFont="1" applyFill="1" applyBorder="1" applyAlignment="1">
      <alignment horizontal="center" vertical="center"/>
    </xf>
    <xf numFmtId="168" fontId="18" fillId="0" borderId="1" xfId="0" applyNumberFormat="1" applyFont="1" applyBorder="1" applyAlignment="1" applyProtection="1">
      <alignment horizontal="center" vertical="center" wrapText="1"/>
      <protection locked="0"/>
    </xf>
    <xf numFmtId="0" fontId="4" fillId="3" borderId="1" xfId="4" applyFont="1" applyFill="1" applyBorder="1" applyAlignment="1">
      <alignment vertical="center"/>
    </xf>
    <xf numFmtId="0" fontId="4" fillId="3" borderId="1" xfId="4" applyFont="1" applyFill="1" applyBorder="1" applyAlignment="1">
      <alignment vertical="center"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21" fillId="3" borderId="2" xfId="0" applyFont="1" applyFill="1" applyBorder="1" applyAlignment="1">
      <alignment vertical="center"/>
    </xf>
    <xf numFmtId="169" fontId="34" fillId="14" borderId="26" xfId="1" applyNumberFormat="1" applyFont="1" applyFill="1" applyBorder="1" applyAlignment="1" applyProtection="1">
      <alignment horizontal="center" vertical="center"/>
      <protection locked="0"/>
    </xf>
    <xf numFmtId="169" fontId="33" fillId="15" borderId="26" xfId="1" applyNumberFormat="1" applyFont="1" applyFill="1" applyBorder="1" applyAlignment="1" applyProtection="1">
      <alignment horizontal="center" vertical="center"/>
      <protection locked="0"/>
    </xf>
    <xf numFmtId="14" fontId="19" fillId="0" borderId="20" xfId="0" applyNumberFormat="1" applyFont="1" applyBorder="1" applyAlignment="1" applyProtection="1">
      <alignment horizontal="center" vertical="center"/>
      <protection locked="0"/>
    </xf>
    <xf numFmtId="0" fontId="19" fillId="0" borderId="28" xfId="0" applyFont="1" applyBorder="1" applyAlignment="1" applyProtection="1">
      <alignment vertical="center"/>
      <protection locked="0"/>
    </xf>
    <xf numFmtId="0" fontId="19" fillId="0" borderId="29" xfId="0" applyFont="1" applyBorder="1" applyAlignment="1" applyProtection="1">
      <alignment vertical="center"/>
      <protection locked="0"/>
    </xf>
    <xf numFmtId="43" fontId="27" fillId="15" borderId="20" xfId="1" applyFont="1" applyFill="1" applyBorder="1" applyAlignment="1" applyProtection="1">
      <alignment horizontal="right" vertical="center"/>
      <protection locked="0"/>
    </xf>
    <xf numFmtId="9" fontId="3" fillId="7" borderId="6" xfId="3" applyFont="1" applyFill="1" applyBorder="1" applyAlignment="1" applyProtection="1">
      <alignment horizontal="center" vertical="center" wrapText="1"/>
    </xf>
    <xf numFmtId="2" fontId="19" fillId="0" borderId="1" xfId="0" applyNumberFormat="1" applyFont="1" applyBorder="1" applyAlignment="1" applyProtection="1">
      <alignment vertical="center"/>
      <protection locked="0"/>
    </xf>
    <xf numFmtId="43" fontId="0" fillId="0" borderId="1" xfId="1" applyFont="1" applyBorder="1" applyAlignment="1" applyProtection="1">
      <alignment vertical="center" wrapText="1"/>
      <protection locked="0"/>
    </xf>
    <xf numFmtId="0" fontId="0" fillId="0" borderId="46" xfId="0" applyBorder="1"/>
    <xf numFmtId="0" fontId="0" fillId="0" borderId="47" xfId="0" applyBorder="1"/>
    <xf numFmtId="0" fontId="0" fillId="0" borderId="48" xfId="0" applyBorder="1"/>
    <xf numFmtId="0" fontId="0" fillId="0" borderId="50" xfId="0" applyBorder="1"/>
    <xf numFmtId="0" fontId="2" fillId="0" borderId="47" xfId="0" applyFont="1" applyBorder="1"/>
    <xf numFmtId="0" fontId="2" fillId="0" borderId="45" xfId="0" applyFont="1" applyBorder="1"/>
    <xf numFmtId="0" fontId="2" fillId="0" borderId="49" xfId="0" applyFont="1" applyBorder="1"/>
    <xf numFmtId="0" fontId="0" fillId="18" borderId="51" xfId="0" applyFill="1" applyBorder="1"/>
    <xf numFmtId="0" fontId="0" fillId="18" borderId="52" xfId="0" applyFill="1" applyBorder="1"/>
    <xf numFmtId="9" fontId="33" fillId="15" borderId="26" xfId="3" applyFont="1" applyFill="1" applyBorder="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3" fillId="3" borderId="6" xfId="0" applyFont="1" applyFill="1" applyBorder="1" applyAlignment="1" applyProtection="1">
      <alignment horizontal="center" vertical="center" wrapText="1"/>
      <protection locked="0"/>
    </xf>
    <xf numFmtId="0" fontId="0" fillId="0" borderId="0" xfId="0" applyProtection="1">
      <protection locked="0"/>
    </xf>
    <xf numFmtId="0" fontId="23" fillId="3" borderId="20"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22" fillId="0" borderId="11" xfId="0" applyFont="1" applyBorder="1" applyProtection="1">
      <protection locked="0"/>
    </xf>
    <xf numFmtId="0" fontId="21" fillId="3" borderId="6" xfId="0" applyFont="1" applyFill="1" applyBorder="1" applyAlignment="1" applyProtection="1">
      <alignment horizontal="left" vertical="center" wrapText="1"/>
      <protection locked="0"/>
    </xf>
    <xf numFmtId="9" fontId="3" fillId="11" borderId="6" xfId="3" applyFont="1" applyFill="1" applyBorder="1" applyAlignment="1" applyProtection="1">
      <alignment horizontal="center" vertical="center" wrapText="1"/>
      <protection locked="0"/>
    </xf>
    <xf numFmtId="168" fontId="0" fillId="0" borderId="12" xfId="1" applyNumberFormat="1" applyFont="1" applyBorder="1" applyProtection="1"/>
    <xf numFmtId="166"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8" fontId="0" fillId="0" borderId="0" xfId="1" applyNumberFormat="1" applyFont="1" applyProtection="1">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0" fillId="0" borderId="14" xfId="0" applyBorder="1" applyProtection="1">
      <protection locked="0"/>
    </xf>
    <xf numFmtId="0" fontId="9" fillId="3" borderId="1"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168" fontId="9" fillId="3" borderId="1" xfId="1" applyNumberFormat="1" applyFont="1" applyFill="1" applyBorder="1" applyAlignment="1" applyProtection="1">
      <alignment horizontal="center" vertical="center" wrapText="1"/>
      <protection locked="0"/>
    </xf>
    <xf numFmtId="168" fontId="0" fillId="0" borderId="0" xfId="0" applyNumberFormat="1" applyProtection="1">
      <protection locked="0"/>
    </xf>
    <xf numFmtId="169" fontId="0" fillId="0" borderId="0" xfId="1" applyNumberFormat="1" applyFont="1" applyProtection="1">
      <protection locked="0"/>
    </xf>
    <xf numFmtId="0" fontId="3" fillId="0" borderId="0" xfId="0" applyFont="1" applyAlignment="1" applyProtection="1">
      <alignment horizontal="center" vertical="center"/>
      <protection locked="0"/>
    </xf>
    <xf numFmtId="168" fontId="9" fillId="3" borderId="5" xfId="0" applyNumberFormat="1" applyFont="1" applyFill="1" applyBorder="1" applyAlignment="1" applyProtection="1">
      <alignment horizontal="center" vertical="center" wrapText="1"/>
      <protection locked="0"/>
    </xf>
    <xf numFmtId="168" fontId="21" fillId="3" borderId="5" xfId="0" applyNumberFormat="1" applyFont="1" applyFill="1" applyBorder="1" applyAlignment="1" applyProtection="1">
      <alignment horizontal="center" vertical="center" wrapText="1"/>
      <protection locked="0"/>
    </xf>
    <xf numFmtId="168" fontId="9" fillId="2" borderId="0" xfId="0" applyNumberFormat="1" applyFont="1" applyFill="1" applyAlignment="1" applyProtection="1">
      <alignment horizontal="center" vertical="center"/>
      <protection locked="0"/>
    </xf>
    <xf numFmtId="168" fontId="9" fillId="3" borderId="6" xfId="0" applyNumberFormat="1" applyFont="1" applyFill="1" applyBorder="1" applyAlignment="1" applyProtection="1">
      <alignment horizontal="center" vertical="center" wrapText="1"/>
      <protection locked="0"/>
    </xf>
    <xf numFmtId="168" fontId="3" fillId="9" borderId="0" xfId="0" applyNumberFormat="1"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169" fontId="9" fillId="4" borderId="5" xfId="1" applyNumberFormat="1" applyFont="1" applyFill="1" applyBorder="1" applyAlignment="1" applyProtection="1">
      <alignment horizontal="center" vertical="center" wrapText="1"/>
      <protection locked="0"/>
    </xf>
    <xf numFmtId="169" fontId="9" fillId="4" borderId="6" xfId="1" applyNumberFormat="1" applyFont="1" applyFill="1" applyBorder="1" applyAlignment="1" applyProtection="1">
      <alignment horizontal="center" vertical="center" wrapText="1"/>
      <protection locked="0"/>
    </xf>
    <xf numFmtId="0" fontId="3" fillId="9" borderId="0" xfId="0" applyFont="1" applyFill="1" applyAlignment="1" applyProtection="1">
      <alignment vertical="center"/>
      <protection locked="0"/>
    </xf>
    <xf numFmtId="0" fontId="19" fillId="9"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9" borderId="0" xfId="0" applyFont="1" applyFill="1" applyAlignment="1" applyProtection="1">
      <alignment horizontal="center" vertical="center"/>
      <protection locked="0"/>
    </xf>
    <xf numFmtId="0" fontId="3" fillId="0" borderId="13" xfId="0" applyFont="1" applyBorder="1" applyAlignment="1" applyProtection="1">
      <alignment vertical="center"/>
      <protection locked="0"/>
    </xf>
    <xf numFmtId="0" fontId="3" fillId="12" borderId="14" xfId="0" applyFont="1" applyFill="1" applyBorder="1" applyAlignment="1" applyProtection="1">
      <alignment vertical="center"/>
      <protection locked="0"/>
    </xf>
    <xf numFmtId="0" fontId="3"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0" fillId="0" borderId="15" xfId="0" applyBorder="1" applyProtection="1">
      <protection locked="0"/>
    </xf>
    <xf numFmtId="0" fontId="0" fillId="7" borderId="16" xfId="0" applyFill="1" applyBorder="1" applyProtection="1">
      <protection locked="0"/>
    </xf>
    <xf numFmtId="0" fontId="0" fillId="0" borderId="16" xfId="0" applyBorder="1" applyProtection="1">
      <protection locked="0"/>
    </xf>
    <xf numFmtId="0" fontId="0" fillId="0" borderId="22" xfId="0" applyBorder="1" applyProtection="1">
      <protection locked="0"/>
    </xf>
    <xf numFmtId="168" fontId="10" fillId="0" borderId="0" xfId="0" applyNumberFormat="1" applyFont="1" applyProtection="1">
      <protection locked="0"/>
    </xf>
    <xf numFmtId="20" fontId="0" fillId="0" borderId="0" xfId="0" applyNumberFormat="1" applyAlignment="1" applyProtection="1">
      <alignment horizontal="center" vertical="center"/>
      <protection locked="0"/>
    </xf>
    <xf numFmtId="168" fontId="0" fillId="0" borderId="0" xfId="0" applyNumberFormat="1" applyAlignment="1" applyProtection="1">
      <alignment horizontal="center"/>
      <protection locked="0"/>
    </xf>
    <xf numFmtId="0" fontId="10" fillId="0" borderId="0" xfId="0" applyFont="1" applyProtection="1">
      <protection locked="0"/>
    </xf>
    <xf numFmtId="168" fontId="21" fillId="3" borderId="9" xfId="0" applyNumberFormat="1" applyFont="1" applyFill="1" applyBorder="1" applyAlignment="1" applyProtection="1">
      <alignment horizontal="center" vertical="center" wrapText="1"/>
      <protection locked="0"/>
    </xf>
    <xf numFmtId="169" fontId="21" fillId="4" borderId="9" xfId="1" applyNumberFormat="1" applyFont="1" applyFill="1" applyBorder="1" applyAlignment="1" applyProtection="1">
      <alignment horizontal="center" vertical="center" wrapText="1"/>
      <protection locked="0"/>
    </xf>
    <xf numFmtId="169" fontId="21" fillId="4" borderId="10" xfId="1" applyNumberFormat="1" applyFont="1" applyFill="1" applyBorder="1" applyAlignment="1" applyProtection="1">
      <alignment horizontal="center" vertical="center" wrapText="1"/>
      <protection locked="0"/>
    </xf>
    <xf numFmtId="0" fontId="0" fillId="9" borderId="0" xfId="0" applyFill="1" applyAlignment="1" applyProtection="1">
      <alignment horizontal="center" vertical="center"/>
      <protection locked="0"/>
    </xf>
    <xf numFmtId="0" fontId="25" fillId="14" borderId="20" xfId="0" applyFont="1" applyFill="1" applyBorder="1" applyAlignment="1" applyProtection="1">
      <alignment vertical="center"/>
      <protection locked="0"/>
    </xf>
    <xf numFmtId="169" fontId="27" fillId="0" borderId="0" xfId="1" applyNumberFormat="1" applyFont="1" applyAlignment="1" applyProtection="1">
      <alignment vertical="center"/>
      <protection locked="0"/>
    </xf>
    <xf numFmtId="169" fontId="28" fillId="0" borderId="0" xfId="1" applyNumberFormat="1" applyFont="1" applyAlignment="1" applyProtection="1">
      <alignment vertical="center"/>
      <protection locked="0"/>
    </xf>
    <xf numFmtId="169" fontId="29" fillId="0" borderId="0" xfId="1" applyNumberFormat="1" applyFont="1" applyAlignment="1" applyProtection="1">
      <alignment vertical="center"/>
      <protection locked="0"/>
    </xf>
    <xf numFmtId="169" fontId="27" fillId="0" borderId="0" xfId="1" applyNumberFormat="1" applyFont="1" applyFill="1" applyAlignment="1" applyProtection="1">
      <alignment vertical="center"/>
      <protection locked="0"/>
    </xf>
    <xf numFmtId="0" fontId="27" fillId="0" borderId="0" xfId="0" applyFont="1" applyAlignment="1" applyProtection="1">
      <alignment vertical="center"/>
      <protection locked="0"/>
    </xf>
    <xf numFmtId="169" fontId="30" fillId="0" borderId="0" xfId="1" applyNumberFormat="1" applyFont="1" applyAlignment="1" applyProtection="1">
      <alignment horizontal="center" vertical="center"/>
      <protection locked="0"/>
    </xf>
    <xf numFmtId="0" fontId="27" fillId="0" borderId="0" xfId="0" applyFont="1" applyAlignment="1" applyProtection="1">
      <alignment horizontal="center" vertical="center"/>
      <protection locked="0"/>
    </xf>
    <xf numFmtId="1" fontId="27" fillId="0" borderId="0" xfId="0" applyNumberFormat="1" applyFont="1" applyAlignment="1" applyProtection="1">
      <alignment horizontal="center" vertical="center"/>
      <protection locked="0"/>
    </xf>
    <xf numFmtId="169" fontId="27" fillId="0" borderId="0" xfId="1" applyNumberFormat="1" applyFont="1" applyBorder="1" applyAlignment="1" applyProtection="1">
      <alignment horizontal="center" vertical="center"/>
      <protection locked="0"/>
    </xf>
    <xf numFmtId="169" fontId="0" fillId="0" borderId="0" xfId="0" applyNumberFormat="1" applyProtection="1">
      <protection locked="0"/>
    </xf>
    <xf numFmtId="169" fontId="0" fillId="0" borderId="0" xfId="0" pivotButton="1" applyNumberFormat="1" applyProtection="1">
      <protection locked="0"/>
    </xf>
    <xf numFmtId="0" fontId="0" fillId="17" borderId="0" xfId="0" applyFill="1" applyProtection="1">
      <protection locked="0"/>
    </xf>
    <xf numFmtId="0" fontId="31" fillId="0" borderId="26" xfId="0" applyFont="1" applyBorder="1" applyAlignment="1" applyProtection="1">
      <alignment horizontal="center" vertical="center"/>
      <protection locked="0"/>
    </xf>
    <xf numFmtId="0" fontId="32" fillId="14" borderId="26" xfId="0" applyFont="1" applyFill="1" applyBorder="1" applyAlignment="1" applyProtection="1">
      <alignment horizontal="center" vertical="center"/>
      <protection locked="0"/>
    </xf>
    <xf numFmtId="0" fontId="32" fillId="14" borderId="26" xfId="0" applyFont="1" applyFill="1" applyBorder="1" applyAlignment="1" applyProtection="1">
      <alignment horizontal="left" vertical="center"/>
      <protection locked="0"/>
    </xf>
    <xf numFmtId="43" fontId="32" fillId="14" borderId="26" xfId="1" applyFont="1" applyFill="1" applyBorder="1" applyAlignment="1" applyProtection="1">
      <alignment horizontal="center" vertical="center"/>
      <protection locked="0"/>
    </xf>
    <xf numFmtId="169" fontId="0" fillId="0" borderId="0" xfId="0" applyNumberFormat="1" applyAlignment="1" applyProtection="1">
      <alignment horizontal="left"/>
      <protection locked="0"/>
    </xf>
    <xf numFmtId="10" fontId="33" fillId="0" borderId="26" xfId="1" applyNumberFormat="1" applyFont="1" applyFill="1" applyBorder="1" applyAlignment="1" applyProtection="1">
      <alignment horizontal="center" vertical="center"/>
      <protection locked="0"/>
    </xf>
    <xf numFmtId="169" fontId="34" fillId="0" borderId="26" xfId="1" applyNumberFormat="1" applyFont="1" applyFill="1" applyBorder="1" applyAlignment="1" applyProtection="1">
      <alignment horizontal="center" vertical="center"/>
      <protection locked="0"/>
    </xf>
    <xf numFmtId="169" fontId="33" fillId="0" borderId="26" xfId="1" applyNumberFormat="1" applyFont="1" applyFill="1" applyBorder="1" applyAlignment="1" applyProtection="1">
      <alignment horizontal="center" vertical="center"/>
      <protection locked="0"/>
    </xf>
    <xf numFmtId="2" fontId="25" fillId="14" borderId="20" xfId="0" applyNumberFormat="1" applyFont="1" applyFill="1" applyBorder="1" applyAlignment="1" applyProtection="1">
      <alignment horizontal="center" vertical="center"/>
      <protection locked="0"/>
    </xf>
    <xf numFmtId="0" fontId="25" fillId="14" borderId="20" xfId="0" applyFont="1" applyFill="1" applyBorder="1" applyAlignment="1" applyProtection="1">
      <alignment horizontal="center" vertical="center"/>
      <protection locked="0"/>
    </xf>
    <xf numFmtId="169" fontId="25" fillId="14" borderId="8" xfId="0" applyNumberFormat="1" applyFont="1" applyFill="1" applyBorder="1" applyAlignment="1" applyProtection="1">
      <alignment horizontal="center" vertical="center"/>
      <protection locked="0"/>
    </xf>
    <xf numFmtId="169" fontId="0" fillId="0" borderId="17" xfId="0" pivotButton="1" applyNumberFormat="1" applyBorder="1" applyAlignment="1" applyProtection="1">
      <alignment horizontal="left" vertical="center"/>
      <protection locked="0"/>
    </xf>
    <xf numFmtId="169" fontId="0" fillId="0" borderId="0" xfId="0" applyNumberFormat="1" applyAlignment="1" applyProtection="1">
      <alignment horizontal="left" vertical="center"/>
      <protection locked="0"/>
    </xf>
    <xf numFmtId="169" fontId="0" fillId="0" borderId="7" xfId="0" applyNumberFormat="1" applyBorder="1" applyAlignment="1" applyProtection="1">
      <alignment horizontal="left" vertical="center"/>
      <protection locked="0"/>
    </xf>
    <xf numFmtId="169" fontId="25" fillId="14" borderId="20" xfId="0" applyNumberFormat="1" applyFont="1" applyFill="1" applyBorder="1" applyAlignment="1" applyProtection="1">
      <alignment horizontal="left" vertical="center"/>
      <protection locked="0"/>
    </xf>
    <xf numFmtId="43" fontId="27" fillId="0" borderId="20" xfId="1" applyFont="1" applyFill="1" applyBorder="1" applyAlignment="1" applyProtection="1">
      <alignment horizontal="right" vertical="center"/>
      <protection locked="0"/>
    </xf>
    <xf numFmtId="169" fontId="0" fillId="0" borderId="8" xfId="0" applyNumberFormat="1" applyBorder="1" applyAlignment="1" applyProtection="1">
      <alignment horizontal="left" vertical="center"/>
      <protection locked="0"/>
    </xf>
    <xf numFmtId="169" fontId="0" fillId="0" borderId="27" xfId="0" applyNumberFormat="1" applyBorder="1" applyAlignment="1" applyProtection="1">
      <alignment horizontal="left" vertical="center"/>
      <protection locked="0"/>
    </xf>
    <xf numFmtId="169" fontId="0" fillId="0" borderId="11" xfId="0" applyNumberFormat="1" applyBorder="1" applyAlignment="1" applyProtection="1">
      <alignment horizontal="left" vertical="center"/>
      <protection locked="0"/>
    </xf>
    <xf numFmtId="169" fontId="0" fillId="0" borderId="19" xfId="0" applyNumberFormat="1" applyBorder="1" applyAlignment="1" applyProtection="1">
      <alignment horizontal="left" vertical="center"/>
      <protection locked="0"/>
    </xf>
    <xf numFmtId="169" fontId="0" fillId="17" borderId="0" xfId="1" applyNumberFormat="1" applyFont="1" applyFill="1" applyProtection="1">
      <protection locked="0"/>
    </xf>
    <xf numFmtId="168" fontId="3" fillId="0" borderId="1" xfId="0" applyNumberFormat="1" applyFont="1" applyBorder="1" applyAlignment="1" applyProtection="1">
      <alignment horizontal="center" vertical="center" wrapText="1"/>
      <protection locked="0"/>
    </xf>
    <xf numFmtId="0" fontId="0" fillId="0" borderId="44" xfId="0" applyBorder="1" applyProtection="1">
      <protection locked="0"/>
    </xf>
    <xf numFmtId="0" fontId="0" fillId="11" borderId="13" xfId="0" applyFill="1" applyBorder="1" applyProtection="1">
      <protection locked="0"/>
    </xf>
    <xf numFmtId="0" fontId="0" fillId="11" borderId="15" xfId="0" applyFill="1" applyBorder="1" applyProtection="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9" fontId="9" fillId="3" borderId="1" xfId="3" applyFont="1" applyFill="1" applyBorder="1" applyAlignment="1" applyProtection="1">
      <alignment horizontal="center" vertical="center" wrapText="1"/>
      <protection locked="0"/>
    </xf>
    <xf numFmtId="165" fontId="0" fillId="0" borderId="12" xfId="0" applyNumberFormat="1" applyBorder="1"/>
    <xf numFmtId="0" fontId="40" fillId="0" borderId="0" xfId="0" applyFont="1" applyProtection="1">
      <protection locked="0"/>
    </xf>
    <xf numFmtId="169" fontId="39" fillId="0" borderId="0" xfId="1" applyNumberFormat="1" applyFont="1" applyProtection="1">
      <protection locked="0"/>
    </xf>
    <xf numFmtId="0" fontId="39" fillId="0" borderId="0" xfId="0" applyFont="1" applyProtection="1">
      <protection locked="0"/>
    </xf>
    <xf numFmtId="0" fontId="20" fillId="2" borderId="0" xfId="0" applyFont="1" applyFill="1" applyAlignment="1" applyProtection="1">
      <alignment horizontal="left" vertical="center"/>
      <protection locked="0"/>
    </xf>
    <xf numFmtId="169" fontId="39" fillId="2" borderId="0" xfId="1" applyNumberFormat="1" applyFont="1" applyFill="1" applyProtection="1">
      <protection locked="0"/>
    </xf>
    <xf numFmtId="0" fontId="36" fillId="13" borderId="20" xfId="0" applyFont="1" applyFill="1" applyBorder="1" applyAlignment="1" applyProtection="1">
      <alignment horizontal="left" vertical="center" wrapText="1"/>
      <protection locked="0"/>
    </xf>
    <xf numFmtId="0" fontId="36" fillId="13" borderId="20" xfId="0" applyFont="1" applyFill="1" applyBorder="1" applyAlignment="1" applyProtection="1">
      <alignment horizontal="left" vertical="center"/>
      <protection locked="0"/>
    </xf>
    <xf numFmtId="9" fontId="39" fillId="2" borderId="20" xfId="0" applyNumberFormat="1" applyFont="1" applyFill="1" applyBorder="1" applyAlignment="1" applyProtection="1">
      <alignment horizontal="center" vertical="center"/>
      <protection locked="0"/>
    </xf>
    <xf numFmtId="172" fontId="39" fillId="2" borderId="20" xfId="0" applyNumberFormat="1" applyFont="1" applyFill="1" applyBorder="1" applyAlignment="1" applyProtection="1">
      <alignment vertical="center"/>
      <protection locked="0"/>
    </xf>
    <xf numFmtId="0" fontId="0" fillId="0" borderId="0" xfId="0" pivotButton="1" applyProtection="1">
      <protection locked="0"/>
    </xf>
    <xf numFmtId="169" fontId="39" fillId="0" borderId="0" xfId="0" applyNumberFormat="1" applyFont="1" applyProtection="1">
      <protection locked="0"/>
    </xf>
    <xf numFmtId="0" fontId="0" fillId="0" borderId="0" xfId="0" applyAlignment="1" applyProtection="1">
      <alignment horizontal="left"/>
      <protection locked="0"/>
    </xf>
    <xf numFmtId="169" fontId="39" fillId="0" borderId="0" xfId="0" applyNumberFormat="1" applyFont="1" applyAlignment="1" applyProtection="1">
      <alignment horizontal="left" vertical="center"/>
      <protection locked="0"/>
    </xf>
    <xf numFmtId="165" fontId="3" fillId="7" borderId="1" xfId="2" applyNumberFormat="1" applyFont="1" applyFill="1" applyBorder="1" applyAlignment="1" applyProtection="1">
      <alignment horizontal="center" vertical="center" wrapText="1"/>
      <protection locked="0"/>
    </xf>
    <xf numFmtId="165" fontId="3" fillId="7" borderId="1" xfId="2" applyNumberFormat="1" applyFont="1" applyFill="1" applyBorder="1" applyAlignment="1" applyProtection="1">
      <alignment vertical="center"/>
      <protection locked="0"/>
    </xf>
    <xf numFmtId="0" fontId="3" fillId="2" borderId="0" xfId="4" applyFill="1" applyAlignment="1" applyProtection="1">
      <alignment vertical="center"/>
      <protection locked="0"/>
    </xf>
    <xf numFmtId="0" fontId="3" fillId="0" borderId="0" xfId="4" applyAlignment="1" applyProtection="1">
      <alignment vertical="center"/>
      <protection locked="0"/>
    </xf>
    <xf numFmtId="168" fontId="3" fillId="9" borderId="0" xfId="0" applyNumberFormat="1" applyFont="1" applyFill="1" applyAlignment="1">
      <alignment horizontal="center" vertical="center"/>
    </xf>
    <xf numFmtId="168" fontId="19" fillId="9"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8"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9" fontId="3" fillId="7" borderId="1" xfId="1" applyNumberFormat="1" applyFont="1" applyFill="1" applyBorder="1" applyAlignment="1" applyProtection="1">
      <alignment horizontal="center" vertical="center" wrapText="1"/>
      <protection locked="0"/>
    </xf>
    <xf numFmtId="168" fontId="3" fillId="10" borderId="8" xfId="0" applyNumberFormat="1" applyFont="1" applyFill="1" applyBorder="1" applyAlignment="1" applyProtection="1">
      <alignment horizontal="center" vertical="center"/>
      <protection locked="0"/>
    </xf>
    <xf numFmtId="2" fontId="3" fillId="10" borderId="8" xfId="0" applyNumberFormat="1" applyFont="1" applyFill="1" applyBorder="1" applyAlignment="1" applyProtection="1">
      <alignment horizontal="center" vertical="center"/>
      <protection locked="0"/>
    </xf>
    <xf numFmtId="2" fontId="18" fillId="10" borderId="8" xfId="0" applyNumberFormat="1" applyFont="1" applyFill="1" applyBorder="1" applyAlignment="1" applyProtection="1">
      <alignment horizontal="center" vertical="center"/>
      <protection locked="0"/>
    </xf>
    <xf numFmtId="169" fontId="42" fillId="0" borderId="0" xfId="1" applyNumberFormat="1" applyFont="1" applyProtection="1">
      <protection locked="0"/>
    </xf>
    <xf numFmtId="0" fontId="21" fillId="7" borderId="6" xfId="0" applyFont="1" applyFill="1" applyBorder="1" applyAlignment="1" applyProtection="1">
      <alignment horizontal="left" vertical="center" wrapText="1"/>
      <protection locked="0"/>
    </xf>
    <xf numFmtId="165" fontId="3" fillId="7" borderId="6" xfId="2" applyNumberFormat="1" applyFont="1" applyFill="1" applyBorder="1" applyAlignment="1" applyProtection="1">
      <alignment horizontal="center" vertical="center"/>
      <protection locked="0"/>
    </xf>
    <xf numFmtId="0" fontId="21" fillId="7" borderId="6" xfId="0" applyFont="1" applyFill="1" applyBorder="1" applyAlignment="1">
      <alignment horizontal="center" vertical="center" wrapText="1"/>
    </xf>
    <xf numFmtId="169" fontId="39" fillId="0" borderId="55" xfId="0" pivotButton="1" applyNumberFormat="1" applyFont="1" applyBorder="1" applyAlignment="1" applyProtection="1">
      <alignment horizontal="left" vertical="center"/>
      <protection locked="0"/>
    </xf>
    <xf numFmtId="169" fontId="39" fillId="0" borderId="17" xfId="0" applyNumberFormat="1" applyFont="1" applyBorder="1" applyAlignment="1" applyProtection="1">
      <alignment horizontal="left" vertical="center"/>
      <protection locked="0"/>
    </xf>
    <xf numFmtId="169" fontId="39" fillId="0" borderId="57" xfId="0" applyNumberFormat="1" applyFont="1" applyBorder="1" applyAlignment="1" applyProtection="1">
      <alignment horizontal="left" vertical="center"/>
      <protection locked="0"/>
    </xf>
    <xf numFmtId="169" fontId="39" fillId="0" borderId="7" xfId="0" applyNumberFormat="1" applyFont="1" applyBorder="1" applyAlignment="1" applyProtection="1">
      <alignment horizontal="left" vertical="center"/>
      <protection locked="0"/>
    </xf>
    <xf numFmtId="169" fontId="39" fillId="0" borderId="30" xfId="0" applyNumberFormat="1" applyFont="1" applyBorder="1" applyAlignment="1" applyProtection="1">
      <alignment horizontal="left" vertical="center"/>
      <protection locked="0"/>
    </xf>
    <xf numFmtId="169" fontId="39" fillId="0" borderId="27" xfId="0" applyNumberFormat="1" applyFont="1" applyBorder="1" applyAlignment="1" applyProtection="1">
      <alignment horizontal="left" vertical="center"/>
      <protection locked="0"/>
    </xf>
    <xf numFmtId="169" fontId="39" fillId="0" borderId="11" xfId="0" applyNumberFormat="1" applyFont="1" applyBorder="1" applyAlignment="1" applyProtection="1">
      <alignment horizontal="left" vertical="center"/>
      <protection locked="0"/>
    </xf>
    <xf numFmtId="169" fontId="39" fillId="0" borderId="19" xfId="0" applyNumberFormat="1" applyFont="1" applyBorder="1" applyAlignment="1" applyProtection="1">
      <alignment horizontal="left" vertical="center"/>
      <protection locked="0"/>
    </xf>
    <xf numFmtId="0" fontId="39" fillId="0" borderId="55" xfId="0" applyFont="1" applyBorder="1" applyAlignment="1" applyProtection="1">
      <alignment vertical="center"/>
      <protection locked="0"/>
    </xf>
    <xf numFmtId="0" fontId="39" fillId="0" borderId="17" xfId="0" pivotButton="1" applyFont="1" applyBorder="1" applyAlignment="1" applyProtection="1">
      <alignment vertical="center" wrapText="1"/>
      <protection locked="0"/>
    </xf>
    <xf numFmtId="169" fontId="39" fillId="0" borderId="0" xfId="0" applyNumberFormat="1" applyFont="1" applyAlignment="1" applyProtection="1">
      <alignment vertical="center" wrapText="1"/>
      <protection locked="0"/>
    </xf>
    <xf numFmtId="169" fontId="39" fillId="0" borderId="7" xfId="0" applyNumberFormat="1" applyFont="1" applyBorder="1" applyAlignment="1" applyProtection="1">
      <alignment vertical="center" wrapText="1"/>
      <protection locked="0"/>
    </xf>
    <xf numFmtId="0" fontId="39" fillId="0" borderId="17" xfId="0" applyFont="1" applyBorder="1" applyAlignment="1" applyProtection="1">
      <alignment horizontal="left" vertical="center"/>
      <protection locked="0"/>
    </xf>
    <xf numFmtId="169" fontId="39" fillId="0" borderId="17" xfId="0" applyNumberFormat="1" applyFont="1" applyBorder="1" applyAlignment="1" applyProtection="1">
      <alignment vertical="center"/>
      <protection locked="0"/>
    </xf>
    <xf numFmtId="169" fontId="39" fillId="0" borderId="7" xfId="0" applyNumberFormat="1" applyFont="1" applyBorder="1" applyAlignment="1" applyProtection="1">
      <alignment vertical="center"/>
      <protection locked="0"/>
    </xf>
    <xf numFmtId="0" fontId="39" fillId="0" borderId="54"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8" xfId="0" applyFont="1" applyBorder="1" applyAlignment="1" applyProtection="1">
      <alignment horizontal="left" vertical="center"/>
      <protection locked="0"/>
    </xf>
    <xf numFmtId="169" fontId="39" fillId="0" borderId="27" xfId="0" applyNumberFormat="1" applyFont="1" applyBorder="1" applyAlignment="1" applyProtection="1">
      <alignment vertical="center"/>
      <protection locked="0"/>
    </xf>
    <xf numFmtId="169" fontId="39" fillId="0" borderId="19" xfId="0" applyNumberFormat="1" applyFont="1" applyBorder="1" applyAlignment="1" applyProtection="1">
      <alignment vertical="center"/>
      <protection locked="0"/>
    </xf>
    <xf numFmtId="0" fontId="39" fillId="0" borderId="18" xfId="0" pivotButton="1" applyFont="1" applyBorder="1" applyAlignment="1" applyProtection="1">
      <alignment vertical="center" wrapText="1"/>
      <protection locked="0"/>
    </xf>
    <xf numFmtId="0" fontId="45" fillId="16" borderId="40" xfId="0" applyFont="1" applyFill="1" applyBorder="1" applyProtection="1">
      <protection locked="0"/>
    </xf>
    <xf numFmtId="0" fontId="45" fillId="2" borderId="40" xfId="0" applyFont="1" applyFill="1" applyBorder="1" applyProtection="1">
      <protection locked="0"/>
    </xf>
    <xf numFmtId="0" fontId="45" fillId="2" borderId="31" xfId="0" applyFont="1" applyFill="1" applyBorder="1" applyAlignment="1" applyProtection="1">
      <alignment wrapText="1"/>
      <protection locked="0"/>
    </xf>
    <xf numFmtId="0" fontId="45" fillId="2" borderId="32" xfId="0" applyFont="1" applyFill="1" applyBorder="1" applyAlignment="1" applyProtection="1">
      <alignment wrapText="1"/>
      <protection locked="0"/>
    </xf>
    <xf numFmtId="0" fontId="45" fillId="2" borderId="33" xfId="0" applyFont="1" applyFill="1" applyBorder="1" applyAlignment="1" applyProtection="1">
      <alignment wrapText="1"/>
      <protection locked="0"/>
    </xf>
    <xf numFmtId="0" fontId="45" fillId="2" borderId="34" xfId="0" applyFont="1" applyFill="1" applyBorder="1" applyAlignment="1" applyProtection="1">
      <alignment wrapText="1"/>
      <protection locked="0"/>
    </xf>
    <xf numFmtId="0" fontId="45" fillId="2" borderId="35" xfId="0" applyFont="1" applyFill="1" applyBorder="1" applyAlignment="1" applyProtection="1">
      <alignment wrapText="1"/>
      <protection locked="0"/>
    </xf>
    <xf numFmtId="0" fontId="45" fillId="2" borderId="31" xfId="0" applyFont="1" applyFill="1" applyBorder="1" applyProtection="1">
      <protection locked="0"/>
    </xf>
    <xf numFmtId="0" fontId="45" fillId="2" borderId="32" xfId="0" applyFont="1" applyFill="1" applyBorder="1" applyProtection="1">
      <protection locked="0"/>
    </xf>
    <xf numFmtId="0" fontId="45" fillId="16" borderId="31" xfId="0" applyFont="1" applyFill="1" applyBorder="1" applyAlignment="1" applyProtection="1">
      <alignment wrapText="1"/>
      <protection locked="0"/>
    </xf>
    <xf numFmtId="0" fontId="36" fillId="2" borderId="35" xfId="0" applyFont="1" applyFill="1" applyBorder="1" applyAlignment="1" applyProtection="1">
      <alignment wrapText="1"/>
      <protection locked="0"/>
    </xf>
    <xf numFmtId="0" fontId="45" fillId="2" borderId="34" xfId="0" applyFont="1" applyFill="1" applyBorder="1" applyProtection="1">
      <protection locked="0"/>
    </xf>
    <xf numFmtId="0" fontId="45" fillId="2" borderId="41" xfId="0" applyFont="1" applyFill="1" applyBorder="1" applyProtection="1">
      <protection locked="0"/>
    </xf>
    <xf numFmtId="0" fontId="45" fillId="2" borderId="31" xfId="0" applyFont="1" applyFill="1" applyBorder="1" applyAlignment="1" applyProtection="1">
      <alignment horizontal="left" wrapText="1"/>
      <protection locked="0"/>
    </xf>
    <xf numFmtId="0" fontId="45" fillId="2" borderId="32" xfId="0" applyFont="1" applyFill="1" applyBorder="1" applyAlignment="1" applyProtection="1">
      <alignment horizontal="left"/>
      <protection locked="0"/>
    </xf>
    <xf numFmtId="0" fontId="45" fillId="2" borderId="36" xfId="0" applyFont="1" applyFill="1" applyBorder="1" applyProtection="1">
      <protection locked="0"/>
    </xf>
    <xf numFmtId="0" fontId="45" fillId="2" borderId="35" xfId="0" applyFont="1" applyFill="1" applyBorder="1" applyAlignment="1" applyProtection="1">
      <alignment horizontal="left" wrapText="1"/>
      <protection locked="0"/>
    </xf>
    <xf numFmtId="0" fontId="45" fillId="2" borderId="42" xfId="0" applyFont="1" applyFill="1" applyBorder="1" applyAlignment="1" applyProtection="1">
      <alignment wrapText="1"/>
      <protection locked="0"/>
    </xf>
    <xf numFmtId="0" fontId="45" fillId="2" borderId="37" xfId="0" applyFont="1" applyFill="1" applyBorder="1" applyAlignment="1" applyProtection="1">
      <alignment wrapText="1"/>
      <protection locked="0"/>
    </xf>
    <xf numFmtId="0" fontId="45" fillId="2" borderId="35" xfId="0" applyFont="1" applyFill="1" applyBorder="1" applyAlignment="1" applyProtection="1">
      <alignment horizontal="left"/>
      <protection locked="0"/>
    </xf>
    <xf numFmtId="0" fontId="45" fillId="2" borderId="42" xfId="0" applyFont="1" applyFill="1" applyBorder="1" applyProtection="1">
      <protection locked="0"/>
    </xf>
    <xf numFmtId="0" fontId="45" fillId="2" borderId="37" xfId="0" applyFont="1" applyFill="1" applyBorder="1" applyProtection="1">
      <protection locked="0"/>
    </xf>
    <xf numFmtId="0" fontId="45" fillId="2" borderId="31" xfId="0" applyFont="1" applyFill="1" applyBorder="1" applyAlignment="1" applyProtection="1">
      <alignment horizontal="left"/>
      <protection locked="0"/>
    </xf>
    <xf numFmtId="0" fontId="45" fillId="2" borderId="38" xfId="0" applyFont="1" applyFill="1" applyBorder="1" applyAlignment="1" applyProtection="1">
      <alignment horizontal="left"/>
      <protection locked="0"/>
    </xf>
    <xf numFmtId="0" fontId="45" fillId="2" borderId="39" xfId="0" applyFont="1" applyFill="1" applyBorder="1" applyProtection="1">
      <protection locked="0"/>
    </xf>
    <xf numFmtId="0" fontId="45" fillId="2" borderId="38" xfId="0" applyFont="1" applyFill="1" applyBorder="1" applyProtection="1">
      <protection locked="0"/>
    </xf>
    <xf numFmtId="0" fontId="45" fillId="2" borderId="43" xfId="0" applyFont="1" applyFill="1" applyBorder="1" applyProtection="1">
      <protection locked="0"/>
    </xf>
    <xf numFmtId="0" fontId="36" fillId="2" borderId="36" xfId="0" applyFont="1" applyFill="1" applyBorder="1" applyAlignment="1" applyProtection="1">
      <alignment horizontal="center" wrapText="1"/>
      <protection locked="0"/>
    </xf>
    <xf numFmtId="0" fontId="36" fillId="2" borderId="37" xfId="0" applyFont="1" applyFill="1" applyBorder="1" applyAlignment="1" applyProtection="1">
      <alignment horizontal="center" wrapText="1"/>
      <protection locked="0"/>
    </xf>
    <xf numFmtId="0" fontId="45" fillId="2" borderId="31" xfId="0" applyFont="1" applyFill="1" applyBorder="1" applyAlignment="1" applyProtection="1">
      <alignment horizontal="center" wrapText="1"/>
      <protection locked="0"/>
    </xf>
    <xf numFmtId="0" fontId="45" fillId="2" borderId="34" xfId="0" applyFont="1" applyFill="1" applyBorder="1" applyAlignment="1" applyProtection="1">
      <alignment horizontal="center" wrapText="1"/>
      <protection locked="0"/>
    </xf>
    <xf numFmtId="0" fontId="45" fillId="2" borderId="32" xfId="0" applyFont="1" applyFill="1" applyBorder="1" applyAlignment="1" applyProtection="1">
      <alignment horizontal="left" wrapText="1"/>
      <protection locked="0"/>
    </xf>
    <xf numFmtId="0" fontId="39" fillId="0" borderId="56" xfId="0" pivotButton="1" applyFont="1" applyBorder="1" applyAlignment="1" applyProtection="1">
      <alignment vertical="center"/>
      <protection locked="0"/>
    </xf>
    <xf numFmtId="0" fontId="39" fillId="0" borderId="56" xfId="0" applyFont="1" applyBorder="1" applyAlignment="1" applyProtection="1">
      <alignment vertical="center"/>
      <protection locked="0"/>
    </xf>
    <xf numFmtId="0" fontId="39" fillId="0" borderId="57" xfId="0" applyFont="1" applyBorder="1" applyAlignment="1" applyProtection="1">
      <alignment vertical="center"/>
      <protection locked="0"/>
    </xf>
    <xf numFmtId="0" fontId="39" fillId="0" borderId="17" xfId="0" pivotButton="1" applyFont="1" applyBorder="1" applyAlignment="1" applyProtection="1">
      <alignment vertical="center"/>
      <protection locked="0"/>
    </xf>
    <xf numFmtId="0" fontId="39" fillId="0" borderId="0" xfId="0" applyFont="1" applyAlignment="1" applyProtection="1">
      <alignment vertical="center"/>
      <protection locked="0"/>
    </xf>
    <xf numFmtId="0" fontId="39" fillId="0" borderId="7" xfId="0" applyFont="1" applyBorder="1" applyAlignment="1" applyProtection="1">
      <alignment vertical="center"/>
      <protection locked="0"/>
    </xf>
    <xf numFmtId="167" fontId="39" fillId="0" borderId="56" xfId="0" applyNumberFormat="1" applyFont="1" applyBorder="1" applyAlignment="1" applyProtection="1">
      <alignment vertical="center"/>
      <protection locked="0"/>
    </xf>
    <xf numFmtId="167" fontId="39" fillId="0" borderId="57" xfId="0" applyNumberFormat="1" applyFont="1" applyBorder="1" applyAlignment="1" applyProtection="1">
      <alignment vertical="center"/>
      <protection locked="0"/>
    </xf>
    <xf numFmtId="167" fontId="39" fillId="0" borderId="0" xfId="0" applyNumberFormat="1" applyFont="1" applyAlignment="1" applyProtection="1">
      <alignment vertical="center"/>
      <protection locked="0"/>
    </xf>
    <xf numFmtId="167" fontId="39" fillId="0" borderId="7" xfId="0" applyNumberFormat="1" applyFont="1" applyBorder="1" applyAlignment="1" applyProtection="1">
      <alignment vertical="center"/>
      <protection locked="0"/>
    </xf>
    <xf numFmtId="167" fontId="39" fillId="0" borderId="11" xfId="0" applyNumberFormat="1" applyFont="1" applyBorder="1" applyAlignment="1" applyProtection="1">
      <alignment vertical="center"/>
      <protection locked="0"/>
    </xf>
    <xf numFmtId="167" fontId="39" fillId="0" borderId="19" xfId="0" applyNumberFormat="1" applyFont="1" applyBorder="1" applyAlignment="1" applyProtection="1">
      <alignment vertical="center"/>
      <protection locked="0"/>
    </xf>
    <xf numFmtId="169" fontId="39" fillId="0" borderId="23" xfId="0" pivotButton="1" applyNumberFormat="1" applyFont="1" applyBorder="1" applyAlignment="1" applyProtection="1">
      <alignment horizontal="left" vertical="center"/>
      <protection locked="0"/>
    </xf>
    <xf numFmtId="169" fontId="39" fillId="0" borderId="54" xfId="0" applyNumberFormat="1" applyFont="1" applyBorder="1" applyAlignment="1" applyProtection="1">
      <alignment horizontal="left" vertical="center"/>
      <protection locked="0"/>
    </xf>
    <xf numFmtId="169" fontId="39" fillId="0" borderId="18" xfId="0" applyNumberFormat="1" applyFont="1" applyBorder="1" applyAlignment="1" applyProtection="1">
      <alignment horizontal="left" vertical="center"/>
      <protection locked="0"/>
    </xf>
    <xf numFmtId="169" fontId="39" fillId="0" borderId="8" xfId="0" applyNumberFormat="1" applyFont="1" applyBorder="1" applyAlignment="1" applyProtection="1">
      <alignment horizontal="left" vertical="center"/>
      <protection locked="0"/>
    </xf>
    <xf numFmtId="43" fontId="0" fillId="12" borderId="1" xfId="1" applyFont="1" applyFill="1" applyBorder="1" applyAlignment="1" applyProtection="1">
      <alignment vertical="center" wrapText="1"/>
      <protection locked="0"/>
    </xf>
    <xf numFmtId="169" fontId="39" fillId="0" borderId="18" xfId="0" applyNumberFormat="1" applyFont="1" applyBorder="1" applyAlignment="1" applyProtection="1">
      <alignment vertical="center"/>
      <protection locked="0"/>
    </xf>
    <xf numFmtId="169" fontId="39" fillId="0" borderId="8" xfId="0" applyNumberFormat="1" applyFont="1" applyBorder="1" applyAlignment="1" applyProtection="1">
      <alignment vertical="center"/>
      <protection locked="0"/>
    </xf>
    <xf numFmtId="0" fontId="14" fillId="2" borderId="1" xfId="0" applyFont="1" applyFill="1" applyBorder="1" applyAlignment="1">
      <alignment vertical="top" wrapText="1"/>
    </xf>
    <xf numFmtId="0" fontId="3" fillId="19" borderId="6" xfId="0" applyFont="1" applyFill="1" applyBorder="1" applyAlignment="1">
      <alignment horizontal="center" vertical="center"/>
    </xf>
    <xf numFmtId="0" fontId="3" fillId="19" borderId="6" xfId="0" applyFont="1" applyFill="1" applyBorder="1" applyAlignment="1">
      <alignment horizontal="center" vertical="center" wrapText="1"/>
    </xf>
    <xf numFmtId="9" fontId="3" fillId="19" borderId="6" xfId="3" applyFont="1" applyFill="1" applyBorder="1" applyAlignment="1" applyProtection="1">
      <alignment horizontal="center" vertical="center" wrapText="1"/>
    </xf>
    <xf numFmtId="9" fontId="3" fillId="19" borderId="6" xfId="3" applyFont="1" applyFill="1" applyBorder="1" applyAlignment="1" applyProtection="1">
      <alignment horizontal="center" vertical="center"/>
    </xf>
    <xf numFmtId="164" fontId="3" fillId="7" borderId="6" xfId="3" applyNumberFormat="1" applyFont="1" applyFill="1" applyBorder="1" applyAlignment="1" applyProtection="1">
      <alignment horizontal="center" vertical="center"/>
      <protection locked="0"/>
    </xf>
    <xf numFmtId="165" fontId="3" fillId="2" borderId="6" xfId="2" applyNumberFormat="1" applyFont="1" applyFill="1" applyBorder="1" applyAlignment="1" applyProtection="1">
      <alignment horizontal="center" vertical="center"/>
      <protection locked="0"/>
    </xf>
    <xf numFmtId="9" fontId="3" fillId="2" borderId="6" xfId="3" applyFont="1" applyFill="1" applyBorder="1" applyAlignment="1" applyProtection="1">
      <alignment horizontal="center" vertical="center" wrapText="1"/>
      <protection locked="0"/>
    </xf>
    <xf numFmtId="43" fontId="0" fillId="2" borderId="1" xfId="1" applyFont="1" applyFill="1" applyBorder="1" applyAlignment="1" applyProtection="1">
      <alignment vertical="center" wrapText="1"/>
      <protection locked="0"/>
    </xf>
    <xf numFmtId="169" fontId="9" fillId="4" borderId="58" xfId="1" applyNumberFormat="1" applyFont="1" applyFill="1" applyBorder="1" applyAlignment="1" applyProtection="1">
      <alignment horizontal="center" vertical="center" wrapText="1"/>
      <protection locked="0"/>
    </xf>
    <xf numFmtId="168" fontId="9" fillId="3" borderId="30" xfId="0" applyNumberFormat="1" applyFont="1" applyFill="1" applyBorder="1" applyAlignment="1" applyProtection="1">
      <alignment horizontal="center" vertical="center" wrapText="1"/>
      <protection locked="0"/>
    </xf>
    <xf numFmtId="9" fontId="18" fillId="11" borderId="6" xfId="3" applyFont="1" applyFill="1" applyBorder="1" applyAlignment="1" applyProtection="1">
      <alignment horizontal="center" vertical="center" wrapText="1"/>
      <protection locked="0"/>
    </xf>
    <xf numFmtId="9" fontId="3" fillId="7" borderId="6" xfId="3" applyFont="1" applyFill="1" applyBorder="1" applyAlignment="1" applyProtection="1">
      <alignment horizontal="center" vertical="center" wrapText="1"/>
      <protection locked="0"/>
    </xf>
    <xf numFmtId="0" fontId="39" fillId="0" borderId="59" xfId="0" applyFont="1" applyBorder="1" applyAlignment="1" applyProtection="1">
      <alignment vertical="center"/>
      <protection locked="0"/>
    </xf>
    <xf numFmtId="169" fontId="39" fillId="0" borderId="60" xfId="0" pivotButton="1" applyNumberFormat="1" applyFont="1" applyBorder="1" applyAlignment="1" applyProtection="1">
      <alignment vertical="center"/>
      <protection locked="0"/>
    </xf>
    <xf numFmtId="169" fontId="39" fillId="0" borderId="60" xfId="0" applyNumberFormat="1" applyFont="1" applyBorder="1" applyAlignment="1" applyProtection="1">
      <alignment vertical="center"/>
      <protection locked="0"/>
    </xf>
    <xf numFmtId="169" fontId="39" fillId="0" borderId="61" xfId="0" applyNumberFormat="1" applyFont="1" applyBorder="1" applyAlignment="1" applyProtection="1">
      <alignment vertical="center"/>
      <protection locked="0"/>
    </xf>
    <xf numFmtId="0" fontId="39" fillId="0" borderId="62" xfId="0" applyFont="1" applyBorder="1" applyAlignment="1" applyProtection="1">
      <alignment horizontal="left" vertical="center"/>
      <protection locked="0"/>
    </xf>
    <xf numFmtId="169" fontId="39" fillId="0" borderId="59" xfId="0" applyNumberFormat="1" applyFont="1" applyBorder="1" applyAlignment="1" applyProtection="1">
      <alignment vertical="center"/>
      <protection locked="0"/>
    </xf>
    <xf numFmtId="0" fontId="39" fillId="0" borderId="20" xfId="0" applyFont="1" applyBorder="1" applyAlignment="1" applyProtection="1">
      <alignment horizontal="left" vertical="center"/>
      <protection locked="0"/>
    </xf>
    <xf numFmtId="169" fontId="39" fillId="0" borderId="59" xfId="0" pivotButton="1" applyNumberFormat="1" applyFont="1" applyBorder="1" applyAlignment="1" applyProtection="1">
      <alignment horizontal="left" vertical="center"/>
      <protection locked="0"/>
    </xf>
    <xf numFmtId="169" fontId="39" fillId="0" borderId="2" xfId="0" applyNumberFormat="1" applyFont="1" applyBorder="1" applyAlignment="1" applyProtection="1">
      <alignment horizontal="left" vertical="center" wrapText="1"/>
      <protection locked="0"/>
    </xf>
    <xf numFmtId="169" fontId="39" fillId="0" borderId="3" xfId="0" applyNumberFormat="1" applyFont="1" applyBorder="1" applyAlignment="1" applyProtection="1">
      <alignment horizontal="left" vertical="center" wrapText="1"/>
      <protection locked="0"/>
    </xf>
    <xf numFmtId="169" fontId="39" fillId="0" borderId="4" xfId="0" applyNumberFormat="1" applyFont="1" applyBorder="1" applyAlignment="1" applyProtection="1">
      <alignment horizontal="left" vertical="center" wrapText="1"/>
      <protection locked="0"/>
    </xf>
    <xf numFmtId="169" fontId="39" fillId="0" borderId="59" xfId="0" applyNumberFormat="1" applyFont="1" applyBorder="1" applyAlignment="1" applyProtection="1">
      <alignment horizontal="left" vertical="center"/>
      <protection locked="0"/>
    </xf>
    <xf numFmtId="169" fontId="39" fillId="0" borderId="60" xfId="0" applyNumberFormat="1" applyFont="1" applyBorder="1" applyAlignment="1" applyProtection="1">
      <alignment horizontal="left" vertical="center"/>
      <protection locked="0"/>
    </xf>
    <xf numFmtId="169" fontId="39" fillId="0" borderId="61" xfId="0" applyNumberFormat="1" applyFont="1" applyBorder="1" applyAlignment="1" applyProtection="1">
      <alignment horizontal="left" vertical="center"/>
      <protection locked="0"/>
    </xf>
    <xf numFmtId="169" fontId="39" fillId="0" borderId="20" xfId="0" applyNumberFormat="1" applyFont="1" applyBorder="1" applyAlignment="1" applyProtection="1">
      <alignment horizontal="left" vertical="center"/>
      <protection locked="0"/>
    </xf>
    <xf numFmtId="169" fontId="0" fillId="0" borderId="59" xfId="0" pivotButton="1" applyNumberFormat="1" applyBorder="1" applyAlignment="1" applyProtection="1">
      <alignment horizontal="left" vertical="center"/>
      <protection locked="0"/>
    </xf>
    <xf numFmtId="169" fontId="0" fillId="0" borderId="60" xfId="0" pivotButton="1" applyNumberFormat="1" applyBorder="1" applyAlignment="1" applyProtection="1">
      <alignment horizontal="left" vertical="center"/>
      <protection locked="0"/>
    </xf>
    <xf numFmtId="169" fontId="0" fillId="0" borderId="60" xfId="0" applyNumberFormat="1" applyBorder="1" applyAlignment="1" applyProtection="1">
      <alignment horizontal="left" vertical="center"/>
      <protection locked="0"/>
    </xf>
    <xf numFmtId="169" fontId="0" fillId="0" borderId="61" xfId="0" applyNumberFormat="1" applyBorder="1" applyAlignment="1" applyProtection="1">
      <alignment horizontal="left" vertical="center"/>
      <protection locked="0"/>
    </xf>
    <xf numFmtId="169" fontId="0" fillId="0" borderId="62" xfId="0" applyNumberFormat="1" applyBorder="1" applyAlignment="1" applyProtection="1">
      <alignment horizontal="left" vertical="center"/>
      <protection locked="0"/>
    </xf>
    <xf numFmtId="169" fontId="0" fillId="0" borderId="59" xfId="0" applyNumberFormat="1" applyBorder="1" applyAlignment="1" applyProtection="1">
      <alignment horizontal="left" vertical="center"/>
      <protection locked="0"/>
    </xf>
    <xf numFmtId="0" fontId="39" fillId="0" borderId="20" xfId="0" pivotButton="1" applyFont="1" applyBorder="1" applyAlignment="1" applyProtection="1">
      <alignment vertical="center"/>
      <protection locked="0"/>
    </xf>
    <xf numFmtId="169" fontId="39" fillId="0" borderId="62" xfId="0" pivotButton="1" applyNumberFormat="1" applyFont="1" applyBorder="1" applyAlignment="1" applyProtection="1">
      <alignment vertical="center"/>
      <protection locked="0"/>
    </xf>
    <xf numFmtId="169" fontId="39" fillId="0" borderId="20" xfId="0" applyNumberFormat="1" applyFont="1" applyBorder="1" applyAlignment="1" applyProtection="1">
      <alignment vertical="center"/>
      <protection locked="0"/>
    </xf>
    <xf numFmtId="169" fontId="39" fillId="0" borderId="20" xfId="0" applyNumberFormat="1" applyFont="1" applyBorder="1" applyAlignment="1" applyProtection="1">
      <alignment vertical="center" wrapText="1"/>
      <protection locked="0"/>
    </xf>
    <xf numFmtId="169" fontId="39" fillId="0" borderId="62" xfId="0" applyNumberFormat="1" applyFont="1" applyBorder="1" applyAlignment="1" applyProtection="1">
      <alignment vertical="center"/>
      <protection locked="0"/>
    </xf>
    <xf numFmtId="0" fontId="45" fillId="2" borderId="35" xfId="0" applyFont="1" applyFill="1" applyBorder="1" applyAlignment="1" applyProtection="1">
      <alignment horizontal="left" indent="1"/>
      <protection locked="0"/>
    </xf>
    <xf numFmtId="0" fontId="45" fillId="2" borderId="35" xfId="0" applyFont="1" applyFill="1" applyBorder="1" applyAlignment="1" applyProtection="1">
      <alignment horizontal="left" wrapText="1" indent="1"/>
      <protection locked="0"/>
    </xf>
    <xf numFmtId="0" fontId="45" fillId="2" borderId="41" xfId="0" applyFont="1" applyFill="1" applyBorder="1" applyAlignment="1" applyProtection="1">
      <alignment wrapText="1"/>
      <protection locked="0"/>
    </xf>
    <xf numFmtId="0" fontId="45" fillId="2" borderId="36" xfId="0" applyFont="1" applyFill="1" applyBorder="1" applyAlignment="1" applyProtection="1">
      <alignment wrapText="1"/>
      <protection locked="0"/>
    </xf>
    <xf numFmtId="11" fontId="45" fillId="2" borderId="31" xfId="0" applyNumberFormat="1" applyFont="1" applyFill="1" applyBorder="1" applyAlignment="1" applyProtection="1">
      <alignment horizontal="center" wrapText="1"/>
      <protection locked="0"/>
    </xf>
    <xf numFmtId="11" fontId="45" fillId="2" borderId="34" xfId="0" applyNumberFormat="1" applyFont="1" applyFill="1" applyBorder="1" applyAlignment="1" applyProtection="1">
      <alignment horizontal="center" wrapText="1"/>
      <protection locked="0"/>
    </xf>
    <xf numFmtId="0" fontId="43" fillId="3" borderId="0" xfId="4" applyFont="1" applyFill="1" applyAlignment="1">
      <alignment horizontal="left" vertical="top"/>
    </xf>
    <xf numFmtId="0" fontId="44" fillId="2" borderId="0" xfId="4" applyFont="1" applyFill="1" applyAlignment="1">
      <alignment horizontal="left" vertical="top" wrapText="1"/>
    </xf>
    <xf numFmtId="0" fontId="47" fillId="0" borderId="13"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22" xfId="0" applyFont="1" applyBorder="1" applyAlignment="1" applyProtection="1">
      <alignment horizontal="center" vertical="center"/>
      <protection locked="0"/>
    </xf>
    <xf numFmtId="0" fontId="41" fillId="0" borderId="53" xfId="0" applyFont="1" applyBorder="1" applyAlignment="1" applyProtection="1">
      <alignment horizontal="left" vertical="center"/>
      <protection locked="0"/>
    </xf>
    <xf numFmtId="0" fontId="0" fillId="0" borderId="16"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protection locked="0"/>
    </xf>
    <xf numFmtId="169" fontId="35" fillId="0" borderId="0" xfId="1" applyNumberFormat="1" applyFont="1" applyAlignment="1" applyProtection="1">
      <alignment horizontal="center" vertical="center"/>
      <protection locked="0"/>
    </xf>
    <xf numFmtId="0" fontId="27" fillId="15" borderId="20" xfId="0" applyFont="1" applyFill="1" applyBorder="1" applyAlignment="1" applyProtection="1">
      <alignment horizontal="center" vertical="center"/>
      <protection locked="0"/>
    </xf>
    <xf numFmtId="0" fontId="26" fillId="15" borderId="20" xfId="0" applyFont="1" applyFill="1" applyBorder="1" applyAlignment="1" applyProtection="1">
      <alignment horizontal="center" vertical="center"/>
      <protection locked="0"/>
    </xf>
    <xf numFmtId="0" fontId="27" fillId="15" borderId="23" xfId="0" applyFont="1" applyFill="1" applyBorder="1" applyAlignment="1" applyProtection="1">
      <alignment horizontal="center" vertical="center"/>
      <protection locked="0"/>
    </xf>
    <xf numFmtId="0" fontId="27" fillId="15" borderId="24" xfId="0" applyFont="1" applyFill="1" applyBorder="1" applyAlignment="1" applyProtection="1">
      <alignment horizontal="center" vertical="center"/>
      <protection locked="0"/>
    </xf>
    <xf numFmtId="0" fontId="27" fillId="15" borderId="25" xfId="0" applyFont="1" applyFill="1" applyBorder="1" applyAlignment="1" applyProtection="1">
      <alignment horizontal="center" vertical="center"/>
      <protection locked="0"/>
    </xf>
  </cellXfs>
  <cellStyles count="5">
    <cellStyle name="Milliers" xfId="1" builtinId="3"/>
    <cellStyle name="Monétaire" xfId="2" builtinId="4"/>
    <cellStyle name="Normal" xfId="0" builtinId="0"/>
    <cellStyle name="Normal 2" xfId="4" xr:uid="{00000000-0005-0000-0000-000003000000}"/>
    <cellStyle name="Pourcentage" xfId="3" builtinId="5"/>
  </cellStyles>
  <dxfs count="895">
    <dxf>
      <border>
        <right style="thin">
          <color auto="1"/>
        </right>
        <vertical/>
        <horizontal/>
      </border>
    </dxf>
    <dxf>
      <font>
        <color theme="6" tint="-0.499984740745262"/>
      </font>
    </dxf>
    <dxf>
      <border>
        <right style="thin">
          <color auto="1"/>
        </right>
        <vertical/>
        <horizontal/>
      </border>
    </dxf>
    <dxf>
      <font>
        <color theme="0"/>
      </font>
      <fill>
        <patternFill patternType="none">
          <bgColor auto="1"/>
        </patternFill>
      </fill>
      <border>
        <left/>
        <right/>
        <top/>
        <bottom/>
        <vertical/>
        <horizontal/>
      </border>
    </dxf>
    <dxf>
      <border>
        <right style="thin">
          <color auto="1"/>
        </right>
        <vertical/>
        <horizontal/>
      </border>
    </dxf>
    <dxf>
      <font>
        <color theme="6" tint="-0.499984740745262"/>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font>
        <i val="0"/>
      </font>
    </dxf>
    <dxf>
      <font>
        <i/>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left"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numFmt numFmtId="15" formatCode="0.00E+0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0" readingOrder="0"/>
    </dxf>
    <dxf>
      <alignment wrapText="1" readingOrder="0"/>
    </dxf>
    <dxf>
      <alignment wrapText="0" readingOrder="0"/>
    </dxf>
    <dxf>
      <font>
        <b/>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alignment wrapText="1" readingOrder="0"/>
    </dxf>
    <dxf>
      <alignment wrapText="0" readingOrder="0"/>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4" formatCode="0.0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top style="thin">
          <color indexed="64"/>
        </top>
        <bottom style="thin">
          <color indexed="64"/>
        </bottom>
      </border>
    </dxf>
    <dxf>
      <numFmt numFmtId="167"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72"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Base_données_couts_projet V4.2.xlsx]Syntheses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s>
    <c:plotArea>
      <c:layout/>
      <c:pieChart>
        <c:varyColors val="1"/>
        <c:ser>
          <c:idx val="0"/>
          <c:order val="0"/>
          <c:tx>
            <c:strRef>
              <c:f>'Syntheses AIDES'!$C$59</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Lbls>
            <c:dLbl>
              <c:idx val="0"/>
              <c:layout>
                <c:manualLayout>
                  <c:x val="7.2936898208479914E-2"/>
                  <c:y val="8.588498879761015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0-4EBE-9F9D-E3C16E7D72A8}"/>
                </c:ext>
              </c:extLst>
            </c:dLbl>
            <c:dLbl>
              <c:idx val="2"/>
              <c:layout>
                <c:manualLayout>
                  <c:x val="-4.3755409308678647E-2"/>
                  <c:y val="4.074935930356438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F-4C50-8AFD-43CA46E36820}"/>
                </c:ext>
              </c:extLst>
            </c:dLbl>
            <c:dLbl>
              <c:idx val="4"/>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E0-4ABA-9F1D-C94ABE4EB04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AIDES'!$B$60:$B$65</c:f>
              <c:strCache>
                <c:ptCount val="5"/>
                <c:pt idx="0">
                  <c:v>LOT 0</c:v>
                </c:pt>
                <c:pt idx="1">
                  <c:v>LOT 1</c:v>
                </c:pt>
                <c:pt idx="2">
                  <c:v>LOT 2</c:v>
                </c:pt>
                <c:pt idx="3">
                  <c:v>LOT 3</c:v>
                </c:pt>
                <c:pt idx="4">
                  <c:v>(vide)</c:v>
                </c:pt>
              </c:strCache>
            </c:strRef>
          </c:cat>
          <c:val>
            <c:numRef>
              <c:f>'Syntheses AIDES'!$C$60:$C$65</c:f>
              <c:numCache>
                <c:formatCode>General</c:formatCode>
                <c:ptCount val="5"/>
                <c:pt idx="0">
                  <c:v>24000</c:v>
                </c:pt>
                <c:pt idx="1">
                  <c:v>224400</c:v>
                </c:pt>
                <c:pt idx="2">
                  <c:v>100000</c:v>
                </c:pt>
                <c:pt idx="3">
                  <c:v>100000</c:v>
                </c:pt>
                <c:pt idx="4">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Base_données_couts_projet V4.2.xlsx]Syntheses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AIDES'!$C$79</c:f>
              <c:strCache>
                <c:ptCount val="1"/>
                <c:pt idx="0">
                  <c:v>Salaires chargés non environnés :</c:v>
                </c:pt>
              </c:strCache>
            </c:strRef>
          </c:tx>
          <c:spPr>
            <a:solidFill>
              <a:schemeClr val="accent1"/>
            </a:solidFill>
            <a:ln>
              <a:noFill/>
            </a:ln>
            <a:effectLst/>
          </c:spPr>
          <c:invertIfNegative val="0"/>
          <c:cat>
            <c:strRef>
              <c:f>'Syntheses AIDES'!$B$80:$B$83</c:f>
              <c:strCache>
                <c:ptCount val="3"/>
                <c:pt idx="0">
                  <c:v>SEM01</c:v>
                </c:pt>
                <c:pt idx="1">
                  <c:v>SEM02</c:v>
                </c:pt>
                <c:pt idx="2">
                  <c:v>(vide)</c:v>
                </c:pt>
              </c:strCache>
            </c:strRef>
          </c:cat>
          <c:val>
            <c:numRef>
              <c:f>'Syntheses AIDES'!$C$80:$C$83</c:f>
              <c:numCache>
                <c:formatCode>General</c:formatCode>
                <c:ptCount val="3"/>
                <c:pt idx="0">
                  <c:v>16000</c:v>
                </c:pt>
                <c:pt idx="1">
                  <c:v>16000</c:v>
                </c:pt>
                <c:pt idx="2">
                  <c:v>0</c:v>
                </c:pt>
              </c:numCache>
            </c:numRef>
          </c:val>
          <c:extLst>
            <c:ext xmlns:c16="http://schemas.microsoft.com/office/drawing/2014/chart" uri="{C3380CC4-5D6E-409C-BE32-E72D297353CC}">
              <c16:uniqueId val="{00000000-1D07-4955-8AC4-63A64FCD86B2}"/>
            </c:ext>
          </c:extLst>
        </c:ser>
        <c:ser>
          <c:idx val="1"/>
          <c:order val="1"/>
          <c:tx>
            <c:strRef>
              <c:f>'Syntheses AIDES'!$D$79</c:f>
              <c:strCache>
                <c:ptCount val="1"/>
                <c:pt idx="0">
                  <c:v>Dont salaires personnels permanents :</c:v>
                </c:pt>
              </c:strCache>
            </c:strRef>
          </c:tx>
          <c:spPr>
            <a:solidFill>
              <a:schemeClr val="accent2"/>
            </a:solidFill>
            <a:ln>
              <a:noFill/>
            </a:ln>
            <a:effectLst/>
          </c:spPr>
          <c:invertIfNegative val="0"/>
          <c:cat>
            <c:strRef>
              <c:f>'Syntheses AIDES'!$B$80:$B$83</c:f>
              <c:strCache>
                <c:ptCount val="3"/>
                <c:pt idx="0">
                  <c:v>SEM01</c:v>
                </c:pt>
                <c:pt idx="1">
                  <c:v>SEM02</c:v>
                </c:pt>
                <c:pt idx="2">
                  <c:v>(vide)</c:v>
                </c:pt>
              </c:strCache>
            </c:strRef>
          </c:cat>
          <c:val>
            <c:numRef>
              <c:f>'Syntheses AIDES'!$D$80:$D$83</c:f>
              <c:numCache>
                <c:formatCode>General</c:formatCode>
                <c:ptCount val="3"/>
              </c:numCache>
            </c:numRef>
          </c:val>
          <c:extLst>
            <c:ext xmlns:c16="http://schemas.microsoft.com/office/drawing/2014/chart" uri="{C3380CC4-5D6E-409C-BE32-E72D297353CC}">
              <c16:uniqueId val="{00000001-1D07-4955-8AC4-63A64FCD86B2}"/>
            </c:ext>
          </c:extLst>
        </c:ser>
        <c:ser>
          <c:idx val="2"/>
          <c:order val="2"/>
          <c:tx>
            <c:strRef>
              <c:f>'Syntheses AIDES'!$E$79</c:f>
              <c:strCache>
                <c:ptCount val="1"/>
                <c:pt idx="0">
                  <c:v>Frais connexes (forfaitaires) :</c:v>
                </c:pt>
              </c:strCache>
            </c:strRef>
          </c:tx>
          <c:spPr>
            <a:solidFill>
              <a:schemeClr val="accent3"/>
            </a:solidFill>
            <a:ln>
              <a:noFill/>
            </a:ln>
            <a:effectLst/>
          </c:spPr>
          <c:invertIfNegative val="0"/>
          <c:cat>
            <c:strRef>
              <c:f>'Syntheses AIDES'!$B$80:$B$83</c:f>
              <c:strCache>
                <c:ptCount val="3"/>
                <c:pt idx="0">
                  <c:v>SEM01</c:v>
                </c:pt>
                <c:pt idx="1">
                  <c:v>SEM02</c:v>
                </c:pt>
                <c:pt idx="2">
                  <c:v>(vide)</c:v>
                </c:pt>
              </c:strCache>
            </c:strRef>
          </c:cat>
          <c:val>
            <c:numRef>
              <c:f>'Syntheses AIDES'!$E$80:$E$83</c:f>
              <c:numCache>
                <c:formatCode>General</c:formatCode>
                <c:ptCount val="3"/>
                <c:pt idx="0">
                  <c:v>3200</c:v>
                </c:pt>
                <c:pt idx="1">
                  <c:v>3200</c:v>
                </c:pt>
                <c:pt idx="2">
                  <c:v>0</c:v>
                </c:pt>
              </c:numCache>
            </c:numRef>
          </c:val>
          <c:extLst>
            <c:ext xmlns:c16="http://schemas.microsoft.com/office/drawing/2014/chart" uri="{C3380CC4-5D6E-409C-BE32-E72D297353CC}">
              <c16:uniqueId val="{00000002-1D07-4955-8AC4-63A64FCD86B2}"/>
            </c:ext>
          </c:extLst>
        </c:ser>
        <c:ser>
          <c:idx val="3"/>
          <c:order val="3"/>
          <c:tx>
            <c:strRef>
              <c:f>'Syntheses AIDES'!$F$79</c:f>
              <c:strCache>
                <c:ptCount val="1"/>
                <c:pt idx="0">
                  <c:v>Coûts de sous-traitance :</c:v>
                </c:pt>
              </c:strCache>
            </c:strRef>
          </c:tx>
          <c:spPr>
            <a:solidFill>
              <a:schemeClr val="accent4"/>
            </a:solidFill>
            <a:ln>
              <a:noFill/>
            </a:ln>
            <a:effectLst/>
          </c:spPr>
          <c:invertIfNegative val="0"/>
          <c:cat>
            <c:strRef>
              <c:f>'Syntheses AIDES'!$B$80:$B$83</c:f>
              <c:strCache>
                <c:ptCount val="3"/>
                <c:pt idx="0">
                  <c:v>SEM01</c:v>
                </c:pt>
                <c:pt idx="1">
                  <c:v>SEM02</c:v>
                </c:pt>
                <c:pt idx="2">
                  <c:v>(vide)</c:v>
                </c:pt>
              </c:strCache>
            </c:strRef>
          </c:cat>
          <c:val>
            <c:numRef>
              <c:f>'Syntheses AIDES'!$F$80:$F$83</c:f>
              <c:numCache>
                <c:formatCode>General</c:formatCode>
                <c:ptCount val="3"/>
                <c:pt idx="0">
                  <c:v>10000</c:v>
                </c:pt>
                <c:pt idx="1">
                  <c:v>0</c:v>
                </c:pt>
                <c:pt idx="2">
                  <c:v>0</c:v>
                </c:pt>
              </c:numCache>
            </c:numRef>
          </c:val>
          <c:extLst>
            <c:ext xmlns:c16="http://schemas.microsoft.com/office/drawing/2014/chart" uri="{C3380CC4-5D6E-409C-BE32-E72D297353CC}">
              <c16:uniqueId val="{00000003-1D07-4955-8AC4-63A64FCD86B2}"/>
            </c:ext>
          </c:extLst>
        </c:ser>
        <c:ser>
          <c:idx val="4"/>
          <c:order val="4"/>
          <c:tx>
            <c:strRef>
              <c:f>'Syntheses AIDES'!$G$79</c:f>
              <c:strCache>
                <c:ptCount val="1"/>
                <c:pt idx="0">
                  <c:v>Coûts de refacturation interne :</c:v>
                </c:pt>
              </c:strCache>
            </c:strRef>
          </c:tx>
          <c:spPr>
            <a:solidFill>
              <a:schemeClr val="accent5"/>
            </a:solidFill>
            <a:ln>
              <a:noFill/>
            </a:ln>
            <a:effectLst/>
          </c:spPr>
          <c:invertIfNegative val="0"/>
          <c:cat>
            <c:strRef>
              <c:f>'Syntheses AIDES'!$B$80:$B$83</c:f>
              <c:strCache>
                <c:ptCount val="3"/>
                <c:pt idx="0">
                  <c:v>SEM01</c:v>
                </c:pt>
                <c:pt idx="1">
                  <c:v>SEM02</c:v>
                </c:pt>
                <c:pt idx="2">
                  <c:v>(vide)</c:v>
                </c:pt>
              </c:strCache>
            </c:strRef>
          </c:cat>
          <c:val>
            <c:numRef>
              <c:f>'Syntheses AIDES'!$G$80:$G$83</c:f>
              <c:numCache>
                <c:formatCode>General</c:formatCode>
                <c:ptCount val="3"/>
                <c:pt idx="0">
                  <c:v>0</c:v>
                </c:pt>
                <c:pt idx="1">
                  <c:v>0</c:v>
                </c:pt>
                <c:pt idx="2">
                  <c:v>0</c:v>
                </c:pt>
              </c:numCache>
            </c:numRef>
          </c:val>
          <c:extLst>
            <c:ext xmlns:c16="http://schemas.microsoft.com/office/drawing/2014/chart" uri="{C3380CC4-5D6E-409C-BE32-E72D297353CC}">
              <c16:uniqueId val="{00000004-1D07-4955-8AC4-63A64FCD86B2}"/>
            </c:ext>
          </c:extLst>
        </c:ser>
        <c:ser>
          <c:idx val="5"/>
          <c:order val="5"/>
          <c:tx>
            <c:strRef>
              <c:f>'Syntheses AIDES'!$H$79</c:f>
              <c:strCache>
                <c:ptCount val="1"/>
                <c:pt idx="0">
                  <c:v>Frais de mission :</c:v>
                </c:pt>
              </c:strCache>
            </c:strRef>
          </c:tx>
          <c:spPr>
            <a:solidFill>
              <a:schemeClr val="accent6"/>
            </a:solidFill>
            <a:ln>
              <a:noFill/>
            </a:ln>
            <a:effectLst/>
          </c:spPr>
          <c:invertIfNegative val="0"/>
          <c:cat>
            <c:strRef>
              <c:f>'Syntheses AIDES'!$B$80:$B$83</c:f>
              <c:strCache>
                <c:ptCount val="3"/>
                <c:pt idx="0">
                  <c:v>SEM01</c:v>
                </c:pt>
                <c:pt idx="1">
                  <c:v>SEM02</c:v>
                </c:pt>
                <c:pt idx="2">
                  <c:v>(vide)</c:v>
                </c:pt>
              </c:strCache>
            </c:strRef>
          </c:cat>
          <c:val>
            <c:numRef>
              <c:f>'Syntheses AIDES'!$H$80:$H$83</c:f>
              <c:numCache>
                <c:formatCode>General</c:formatCode>
                <c:ptCount val="3"/>
                <c:pt idx="0">
                  <c:v>0</c:v>
                </c:pt>
                <c:pt idx="1">
                  <c:v>0</c:v>
                </c:pt>
                <c:pt idx="2">
                  <c:v>0</c:v>
                </c:pt>
              </c:numCache>
            </c:numRef>
          </c:val>
          <c:extLst>
            <c:ext xmlns:c16="http://schemas.microsoft.com/office/drawing/2014/chart" uri="{C3380CC4-5D6E-409C-BE32-E72D297353CC}">
              <c16:uniqueId val="{00000005-1D07-4955-8AC4-63A64FCD86B2}"/>
            </c:ext>
          </c:extLst>
        </c:ser>
        <c:ser>
          <c:idx val="6"/>
          <c:order val="6"/>
          <c:tx>
            <c:strRef>
              <c:f>'Syntheses AIDES'!$I$79</c:f>
              <c:strCache>
                <c:ptCount val="1"/>
                <c:pt idx="0">
                  <c:v>Autres coûts :</c:v>
                </c:pt>
              </c:strCache>
            </c:strRef>
          </c:tx>
          <c:spPr>
            <a:solidFill>
              <a:schemeClr val="accent1">
                <a:lumMod val="60000"/>
              </a:schemeClr>
            </a:solidFill>
            <a:ln>
              <a:noFill/>
            </a:ln>
            <a:effectLst/>
          </c:spPr>
          <c:invertIfNegative val="0"/>
          <c:cat>
            <c:strRef>
              <c:f>'Syntheses AIDES'!$B$80:$B$83</c:f>
              <c:strCache>
                <c:ptCount val="3"/>
                <c:pt idx="0">
                  <c:v>SEM01</c:v>
                </c:pt>
                <c:pt idx="1">
                  <c:v>SEM02</c:v>
                </c:pt>
                <c:pt idx="2">
                  <c:v>(vide)</c:v>
                </c:pt>
              </c:strCache>
            </c:strRef>
          </c:cat>
          <c:val>
            <c:numRef>
              <c:f>'Syntheses AIDES'!$I$80:$I$83</c:f>
              <c:numCache>
                <c:formatCode>General</c:formatCode>
                <c:ptCount val="3"/>
                <c:pt idx="0">
                  <c:v>0</c:v>
                </c:pt>
                <c:pt idx="1">
                  <c:v>100000</c:v>
                </c:pt>
                <c:pt idx="2">
                  <c:v>0</c:v>
                </c:pt>
              </c:numCache>
            </c:numRef>
          </c:val>
          <c:extLst>
            <c:ext xmlns:c16="http://schemas.microsoft.com/office/drawing/2014/chart" uri="{C3380CC4-5D6E-409C-BE32-E72D297353CC}">
              <c16:uniqueId val="{00000006-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Base_données_couts_projet V4.2.xlsx]Syntheses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AIDES'!$C$112</c:f>
              <c:strCache>
                <c:ptCount val="1"/>
                <c:pt idx="0">
                  <c:v>Total</c:v>
                </c:pt>
              </c:strCache>
            </c:strRef>
          </c:tx>
          <c:spPr>
            <a:solidFill>
              <a:schemeClr val="accent1"/>
            </a:solidFill>
            <a:ln>
              <a:noFill/>
            </a:ln>
            <a:effectLst/>
          </c:spPr>
          <c:invertIfNegative val="0"/>
          <c:cat>
            <c:strRef>
              <c:f>'Syntheses AIDES'!$B$113:$B$116</c:f>
              <c:strCache>
                <c:ptCount val="3"/>
                <c:pt idx="0">
                  <c:v>SEM01</c:v>
                </c:pt>
                <c:pt idx="1">
                  <c:v>SEM02</c:v>
                </c:pt>
                <c:pt idx="2">
                  <c:v>(vide)</c:v>
                </c:pt>
              </c:strCache>
            </c:strRef>
          </c:cat>
          <c:val>
            <c:numRef>
              <c:f>'Syntheses AIDES'!$C$113:$C$116</c:f>
              <c:numCache>
                <c:formatCode>_-* #\ ##0_-;\-* #\ ##0_-;_-* "-"??_-;_-@_-</c:formatCode>
                <c:ptCount val="3"/>
                <c:pt idx="0">
                  <c:v>99770</c:v>
                </c:pt>
                <c:pt idx="1">
                  <c:v>68520</c:v>
                </c:pt>
                <c:pt idx="2">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Onglets "Amortissements" 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les onglets "Amortissements" et "Description des coûts" sont informatifs et nécessaires : ils permettent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dgm:spPr/>
    </dgm:pt>
    <dgm:pt modelId="{48B0495C-129B-414B-AF34-AAA2E2E8EECF}" type="pres">
      <dgm:prSet presAssocID="{D50CDC9D-7108-446D-B140-E3D34C538718}" presName="desTx" presStyleLbl="fgAcc1" presStyleIdx="3" presStyleCnt="4">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306" y="309894"/>
          <a:ext cx="1641266" cy="950147"/>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"Partenaires"</a:t>
          </a:r>
        </a:p>
      </dsp:txBody>
      <dsp:txXfrm>
        <a:off x="1306" y="309894"/>
        <a:ext cx="1641266" cy="633431"/>
      </dsp:txXfrm>
    </dsp:sp>
    <dsp:sp modelId="{FA7FA26B-59C0-4D81-BDF1-2FEBDD36CF48}">
      <dsp:nvSpPr>
        <dsp:cNvPr id="0" name=""/>
        <dsp:cNvSpPr/>
      </dsp:nvSpPr>
      <dsp:spPr>
        <a:xfrm>
          <a:off x="337469" y="943326"/>
          <a:ext cx="1641266"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saisir les informations clés du projet</a:t>
          </a:r>
        </a:p>
      </dsp:txBody>
      <dsp:txXfrm>
        <a:off x="385540" y="991397"/>
        <a:ext cx="1545124" cy="1877558"/>
      </dsp:txXfrm>
    </dsp:sp>
    <dsp:sp modelId="{ED35F717-59E3-4482-8FA8-45FF4D900504}">
      <dsp:nvSpPr>
        <dsp:cNvPr id="0" name=""/>
        <dsp:cNvSpPr/>
      </dsp:nvSpPr>
      <dsp:spPr>
        <a:xfrm>
          <a:off x="1891383" y="422296"/>
          <a:ext cx="527477" cy="40862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1891383" y="504022"/>
        <a:ext cx="404889" cy="245176"/>
      </dsp:txXfrm>
    </dsp:sp>
    <dsp:sp modelId="{72D425C0-09F7-4492-8B5E-7BBE5A342124}">
      <dsp:nvSpPr>
        <dsp:cNvPr id="0" name=""/>
        <dsp:cNvSpPr/>
      </dsp:nvSpPr>
      <dsp:spPr>
        <a:xfrm>
          <a:off x="2637813" y="309894"/>
          <a:ext cx="1641266" cy="950147"/>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"structure projet"</a:t>
          </a:r>
        </a:p>
      </dsp:txBody>
      <dsp:txXfrm>
        <a:off x="2637813" y="309894"/>
        <a:ext cx="1641266" cy="633431"/>
      </dsp:txXfrm>
    </dsp:sp>
    <dsp:sp modelId="{922C5EFB-989A-4CA3-BE0E-A1B1B629A4B3}">
      <dsp:nvSpPr>
        <dsp:cNvPr id="0" name=""/>
        <dsp:cNvSpPr/>
      </dsp:nvSpPr>
      <dsp:spPr>
        <a:xfrm>
          <a:off x="2973976" y="943326"/>
          <a:ext cx="1641266"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Préciser le lotissement du projet</a:t>
          </a:r>
        </a:p>
      </dsp:txBody>
      <dsp:txXfrm>
        <a:off x="3022047" y="991397"/>
        <a:ext cx="1545124" cy="1877558"/>
      </dsp:txXfrm>
    </dsp:sp>
    <dsp:sp modelId="{7BAAE764-61B9-4297-B3C4-CB4F48519412}">
      <dsp:nvSpPr>
        <dsp:cNvPr id="0" name=""/>
        <dsp:cNvSpPr/>
      </dsp:nvSpPr>
      <dsp:spPr>
        <a:xfrm>
          <a:off x="4527890" y="422296"/>
          <a:ext cx="527477" cy="40862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4527890" y="504022"/>
        <a:ext cx="404889" cy="245176"/>
      </dsp:txXfrm>
    </dsp:sp>
    <dsp:sp modelId="{1E8FBFC9-D568-4058-88D5-CC7736AC3267}">
      <dsp:nvSpPr>
        <dsp:cNvPr id="0" name=""/>
        <dsp:cNvSpPr/>
      </dsp:nvSpPr>
      <dsp:spPr>
        <a:xfrm>
          <a:off x="5274321" y="309894"/>
          <a:ext cx="1641266" cy="95014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Onglets "Amortissements" et "Description des coûts" </a:t>
          </a:r>
          <a:endParaRPr lang="fr-FR" sz="1200" kern="1200">
            <a:solidFill>
              <a:srgbClr val="FF0000"/>
            </a:solidFill>
          </a:endParaRPr>
        </a:p>
      </dsp:txBody>
      <dsp:txXfrm>
        <a:off x="5274321" y="309894"/>
        <a:ext cx="1641266" cy="633431"/>
      </dsp:txXfrm>
    </dsp:sp>
    <dsp:sp modelId="{D6FB0CD7-5361-4B06-9A88-9D3D898BC601}">
      <dsp:nvSpPr>
        <dsp:cNvPr id="0" name=""/>
        <dsp:cNvSpPr/>
      </dsp:nvSpPr>
      <dsp:spPr>
        <a:xfrm>
          <a:off x="5610484" y="943326"/>
          <a:ext cx="1641266" cy="19737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les onglets "Amortissements" et "Description des coûts" sont informatifs et nécessaires : ils permettent d'expliciter les montants inscrits dans l'onglet BDD. </a:t>
          </a:r>
          <a:endParaRPr lang="fr-FR" sz="1200" kern="1200">
            <a:solidFill>
              <a:srgbClr val="FF0000"/>
            </a:solidFill>
          </a:endParaRPr>
        </a:p>
      </dsp:txBody>
      <dsp:txXfrm>
        <a:off x="5658555" y="991397"/>
        <a:ext cx="1545124" cy="1877558"/>
      </dsp:txXfrm>
    </dsp:sp>
    <dsp:sp modelId="{2AF93ECD-8426-44D2-B382-0E092DBF24D5}">
      <dsp:nvSpPr>
        <dsp:cNvPr id="0" name=""/>
        <dsp:cNvSpPr/>
      </dsp:nvSpPr>
      <dsp:spPr>
        <a:xfrm>
          <a:off x="7164398" y="422296"/>
          <a:ext cx="527477" cy="40862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7164398" y="504022"/>
        <a:ext cx="404889" cy="245176"/>
      </dsp:txXfrm>
    </dsp:sp>
    <dsp:sp modelId="{FD691116-2B45-47B2-A5BA-E3BBE1E365BF}">
      <dsp:nvSpPr>
        <dsp:cNvPr id="0" name=""/>
        <dsp:cNvSpPr/>
      </dsp:nvSpPr>
      <dsp:spPr>
        <a:xfrm>
          <a:off x="7910828" y="309894"/>
          <a:ext cx="1641266" cy="950147"/>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"BdD"</a:t>
          </a:r>
          <a:endParaRPr lang="fr-FR" sz="1200" kern="1200">
            <a:solidFill>
              <a:srgbClr val="FF0000"/>
            </a:solidFill>
          </a:endParaRPr>
        </a:p>
      </dsp:txBody>
      <dsp:txXfrm>
        <a:off x="7910828" y="309894"/>
        <a:ext cx="1641266" cy="633431"/>
      </dsp:txXfrm>
    </dsp:sp>
    <dsp:sp modelId="{48B0495C-129B-414B-AF34-AAA2E2E8EECF}">
      <dsp:nvSpPr>
        <dsp:cNvPr id="0" name=""/>
        <dsp:cNvSpPr/>
      </dsp:nvSpPr>
      <dsp:spPr>
        <a:xfrm>
          <a:off x="8246991" y="943326"/>
          <a:ext cx="1641266" cy="1973700"/>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solidFill>
                <a:srgbClr val="FF0000"/>
              </a:solidFill>
            </a:rPr>
            <a:t>l'onglet BDD est le principal onglet qui fait foi. Tous les budgets doivent être saisis dans cet onglet</a:t>
          </a:r>
          <a:endParaRPr lang="fr-FR" sz="1200" kern="1200"/>
        </a:p>
      </dsp:txBody>
      <dsp:txXfrm>
        <a:off x="8295062" y="991397"/>
        <a:ext cx="1545124" cy="187755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xdr:col>
      <xdr:colOff>760593</xdr:colOff>
      <xdr:row>0</xdr:row>
      <xdr:rowOff>87275</xdr:rowOff>
    </xdr:from>
    <xdr:ext cx="529364" cy="553670"/>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1217793" y="87275"/>
          <a:ext cx="529364" cy="553670"/>
        </a:xfrm>
        <a:prstGeom prst="rect">
          <a:avLst/>
        </a:prstGeom>
      </xdr:spPr>
    </xdr:pic>
    <xdr:clientData/>
  </xdr:one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232211</xdr:colOff>
      <xdr:row>56</xdr:row>
      <xdr:rowOff>29137</xdr:rowOff>
    </xdr:from>
    <xdr:to>
      <xdr:col>5</xdr:col>
      <xdr:colOff>11206</xdr:colOff>
      <xdr:row>72</xdr:row>
      <xdr:rowOff>179294</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290376</xdr:colOff>
      <xdr:row>86</xdr:row>
      <xdr:rowOff>188455</xdr:rowOff>
    </xdr:from>
    <xdr:to>
      <xdr:col>5</xdr:col>
      <xdr:colOff>1378322</xdr:colOff>
      <xdr:row>105</xdr:row>
      <xdr:rowOff>168088</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109</xdr:row>
      <xdr:rowOff>17930</xdr:rowOff>
    </xdr:from>
    <xdr:to>
      <xdr:col>5</xdr:col>
      <xdr:colOff>902072</xdr:colOff>
      <xdr:row>124</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1183823</xdr:colOff>
      <xdr:row>9</xdr:row>
      <xdr:rowOff>176893</xdr:rowOff>
    </xdr:from>
    <xdr:to>
      <xdr:col>9</xdr:col>
      <xdr:colOff>108858</xdr:colOff>
      <xdr:row>19</xdr:row>
      <xdr:rowOff>40819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4299859" y="1945822"/>
          <a:ext cx="5089070" cy="17689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xdr:colOff>
      <xdr:row>0</xdr:row>
      <xdr:rowOff>176892</xdr:rowOff>
    </xdr:from>
    <xdr:to>
      <xdr:col>5</xdr:col>
      <xdr:colOff>40822</xdr:colOff>
      <xdr:row>8</xdr:row>
      <xdr:rowOff>81643</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3111502" y="176892"/>
          <a:ext cx="2961820" cy="147108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281562</xdr:colOff>
      <xdr:row>7</xdr:row>
      <xdr:rowOff>62800</xdr:rowOff>
    </xdr:from>
    <xdr:to>
      <xdr:col>8</xdr:col>
      <xdr:colOff>526492</xdr:colOff>
      <xdr:row>8</xdr:row>
      <xdr:rowOff>48147</xdr:rowOff>
    </xdr:to>
    <xdr:sp macro="" textlink="">
      <xdr:nvSpPr>
        <xdr:cNvPr id="4" name="Triangle isocèle 3">
          <a:extLst>
            <a:ext uri="{FF2B5EF4-FFF2-40B4-BE49-F238E27FC236}">
              <a16:creationId xmlns:a16="http://schemas.microsoft.com/office/drawing/2014/main" id="{00000000-0008-0000-0900-000004000000}"/>
            </a:ext>
          </a:extLst>
        </xdr:cNvPr>
        <xdr:cNvSpPr/>
      </xdr:nvSpPr>
      <xdr:spPr>
        <a:xfrm rot="10800000">
          <a:off x="8799633" y="1505157"/>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184223</xdr:colOff>
      <xdr:row>4</xdr:row>
      <xdr:rowOff>139211</xdr:rowOff>
    </xdr:from>
    <xdr:to>
      <xdr:col>5</xdr:col>
      <xdr:colOff>360070</xdr:colOff>
      <xdr:row>5</xdr:row>
      <xdr:rowOff>193641</xdr:rowOff>
    </xdr:to>
    <xdr:sp macro="" textlink="">
      <xdr:nvSpPr>
        <xdr:cNvPr id="5" name="Triangle isocèle 4">
          <a:extLst>
            <a:ext uri="{FF2B5EF4-FFF2-40B4-BE49-F238E27FC236}">
              <a16:creationId xmlns:a16="http://schemas.microsoft.com/office/drawing/2014/main" id="{00000000-0008-0000-0900-000005000000}"/>
            </a:ext>
          </a:extLst>
        </xdr:cNvPr>
        <xdr:cNvSpPr/>
      </xdr:nvSpPr>
      <xdr:spPr>
        <a:xfrm rot="16200000">
          <a:off x="6191253" y="976573"/>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10585</xdr:colOff>
      <xdr:row>32</xdr:row>
      <xdr:rowOff>172358</xdr:rowOff>
    </xdr:from>
    <xdr:to>
      <xdr:col>11</xdr:col>
      <xdr:colOff>0</xdr:colOff>
      <xdr:row>38</xdr:row>
      <xdr:rowOff>158750</xdr:rowOff>
    </xdr:to>
    <xdr:sp macro="" textlink="">
      <xdr:nvSpPr>
        <xdr:cNvPr id="6" name="Rectangle 5">
          <a:extLst>
            <a:ext uri="{FF2B5EF4-FFF2-40B4-BE49-F238E27FC236}">
              <a16:creationId xmlns:a16="http://schemas.microsoft.com/office/drawing/2014/main" id="{00000000-0008-0000-0900-000006000000}"/>
            </a:ext>
          </a:extLst>
        </xdr:cNvPr>
        <xdr:cNvSpPr/>
      </xdr:nvSpPr>
      <xdr:spPr>
        <a:xfrm>
          <a:off x="4318002" y="6310691"/>
          <a:ext cx="6476998" cy="11293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394607</xdr:colOff>
      <xdr:row>31</xdr:row>
      <xdr:rowOff>90714</xdr:rowOff>
    </xdr:from>
    <xdr:to>
      <xdr:col>6</xdr:col>
      <xdr:colOff>639537</xdr:colOff>
      <xdr:row>32</xdr:row>
      <xdr:rowOff>76061</xdr:rowOff>
    </xdr:to>
    <xdr:sp macro="" textlink="">
      <xdr:nvSpPr>
        <xdr:cNvPr id="8" name="Triangle isocèle 7">
          <a:extLst>
            <a:ext uri="{FF2B5EF4-FFF2-40B4-BE49-F238E27FC236}">
              <a16:creationId xmlns:a16="http://schemas.microsoft.com/office/drawing/2014/main" id="{00000000-0008-0000-0900-000008000000}"/>
            </a:ext>
          </a:extLst>
        </xdr:cNvPr>
        <xdr:cNvSpPr/>
      </xdr:nvSpPr>
      <xdr:spPr>
        <a:xfrm rot="10800000">
          <a:off x="7284357" y="6038547"/>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3026</xdr:colOff>
      <xdr:row>23</xdr:row>
      <xdr:rowOff>84667</xdr:rowOff>
    </xdr:from>
    <xdr:to>
      <xdr:col>9</xdr:col>
      <xdr:colOff>123978</xdr:colOff>
      <xdr:row>27</xdr:row>
      <xdr:rowOff>105834</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4310443" y="4508500"/>
          <a:ext cx="5084535" cy="7831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349250</xdr:colOff>
      <xdr:row>21</xdr:row>
      <xdr:rowOff>21166</xdr:rowOff>
    </xdr:from>
    <xdr:to>
      <xdr:col>8</xdr:col>
      <xdr:colOff>594180</xdr:colOff>
      <xdr:row>22</xdr:row>
      <xdr:rowOff>80597</xdr:rowOff>
    </xdr:to>
    <xdr:sp macro="" textlink="">
      <xdr:nvSpPr>
        <xdr:cNvPr id="10" name="Triangle isocèle 9">
          <a:extLst>
            <a:ext uri="{FF2B5EF4-FFF2-40B4-BE49-F238E27FC236}">
              <a16:creationId xmlns:a16="http://schemas.microsoft.com/office/drawing/2014/main" id="{00000000-0008-0000-0900-00000A000000}"/>
            </a:ext>
          </a:extLst>
        </xdr:cNvPr>
        <xdr:cNvSpPr/>
      </xdr:nvSpPr>
      <xdr:spPr>
        <a:xfrm rot="10800000">
          <a:off x="8858250" y="4138083"/>
          <a:ext cx="244930" cy="249931"/>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1.470285416668" createdVersion="6" refreshedVersion="7" minRefreshableVersion="3" recordCount="34" xr:uid="{00000000-000A-0000-FFFF-FFFF09000000}">
  <cacheSource type="worksheet">
    <worksheetSource ref="A10:AU1086" sheet="BdD"/>
  </cacheSource>
  <cacheFields count="46">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3">
        <s v="Partenaire 1"/>
        <s v="Partenaire 2"/>
        <m/>
      </sharedItems>
    </cacheField>
    <cacheField name="Semestre" numFmtId="0">
      <sharedItems containsBlank="1"/>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30"/>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30"/>
    </cacheField>
    <cacheField name="Salaires cat 1" numFmtId="168">
      <sharedItems containsString="0" containsBlank="1" containsNumber="1" containsInteger="1" minValue="5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150000"/>
    </cacheField>
    <cacheField name="dont salaires personnels permanents (statutaires organismes publics)" numFmtId="168">
      <sharedItems containsString="0" containsBlank="1" containsNumber="1" containsInteger="1" minValue="3000" maxValue="3000"/>
    </cacheField>
    <cacheField name="dont salaires sans pers. permanents" numFmtId="168">
      <sharedItems containsString="0" containsBlank="1" containsNumber="1" containsInteger="1" minValue="0" maxValue="147000"/>
    </cacheField>
    <cacheField name="Frais connexes (forfaitaires)" numFmtId="168">
      <sharedItems containsString="0" containsBlank="1" containsNumber="1" containsInteger="1" minValue="0" maxValue="30000"/>
    </cacheField>
    <cacheField name="Coûts de sous-traitance" numFmtId="168">
      <sharedItems containsBlank="1" containsMixedTypes="1" containsNumber="1" containsInteger="1" minValue="10000" maxValue="10000"/>
    </cacheField>
    <cacheField name="Contributions aux amortissements (projet d'innovation)" numFmtId="168">
      <sharedItems containsBlank="1" containsMixedTypes="1" containsNumber="1" containsInteger="1" minValue="0" maxValue="100000"/>
    </cacheField>
    <cacheField name="Equipements Productifs (projet d'industrialisation)" numFmtId="168">
      <sharedItems containsString="0" containsBlank="1" containsNumber="1" containsInteger="1" minValue="1000" maxValue="1000"/>
    </cacheField>
    <cacheField name="Coûts de refacturation interne" numFmtId="168">
      <sharedItems containsBlank="1"/>
    </cacheField>
    <cacheField name="Frais de mission" numFmtId="168">
      <sharedItems containsBlank="1"/>
    </cacheField>
    <cacheField name="Autres coûts" numFmtId="168">
      <sharedItems containsBlank="1" containsMixedTypes="1" containsNumber="1" containsInteger="1" minValue="100000" maxValue="100000"/>
    </cacheField>
    <cacheField name="Commentaires" numFmtId="0">
      <sharedItems containsNonDate="0" containsString="0" containsBlank="1"/>
    </cacheField>
    <cacheField name="Total des coûts" numFmtId="168">
      <sharedItems containsString="0" containsBlank="1" containsNumber="1" containsInteger="1" minValue="0" maxValue="180000"/>
    </cacheField>
    <cacheField name="Classification" numFmtId="0">
      <sharedItems containsBlank="1"/>
    </cacheField>
    <cacheField name="Taux aide" numFmtId="0">
      <sharedItems containsString="0" containsBlank="1" containsNumber="1" minValue="0" maxValue="0.6"/>
    </cacheField>
    <cacheField name="Total coûts RI" numFmtId="169">
      <sharedItems containsString="0" containsBlank="1" containsNumber="1" containsInteger="1" minValue="0" maxValue="180000"/>
    </cacheField>
    <cacheField name="Total coûts DE" numFmtId="169">
      <sharedItems containsString="0" containsBlank="1" containsNumber="1" containsInteger="1" minValue="0" maxValue="13000"/>
    </cacheField>
    <cacheField name="Total coûts PE" numFmtId="169">
      <sharedItems containsString="0" containsBlank="1" containsNumber="1" containsInteger="1" minValue="0" maxValue="100000"/>
    </cacheField>
    <cacheField name="Total coûts PE admissibles" numFmtId="169">
      <sharedItems containsString="0" containsBlank="1" containsNumber="1" containsInteger="1" minValue="0" maxValue="99950"/>
    </cacheField>
    <cacheField name="Total coûts éligibles et retenus" numFmtId="169">
      <sharedItems containsString="0" containsBlank="1" containsNumber="1" containsInteger="1" minValue="0" maxValue="180000"/>
    </cacheField>
    <cacheField name="Total coûts non éligibles" numFmtId="169">
      <sharedItems containsString="0" containsBlank="1" containsNumber="1" containsInteger="1" minValue="0" maxValue="12000"/>
    </cacheField>
    <cacheField name="Total coûts non retenus" numFmtId="169">
      <sharedItems containsString="0" containsBlank="1" containsNumber="1" containsInteger="1" minValue="0" maxValue="0"/>
    </cacheField>
    <cacheField name="Total coûts PE non admissibles" numFmtId="169">
      <sharedItems containsString="0" containsBlank="1" containsNumber="1" containsInteger="1" minValue="0" maxValue="50"/>
    </cacheField>
    <cacheField name="Total coûts non éligibles et non retenus" numFmtId="169">
      <sharedItems containsString="0" containsBlank="1" containsNumber="1" containsInteger="1" minValue="0" maxValue="12000"/>
    </cacheField>
    <cacheField name="Subventions" numFmtId="169">
      <sharedItems containsString="0" containsBlank="1" containsNumber="1" minValue="0" maxValue="67500"/>
    </cacheField>
    <cacheField name="Avances remboursables" numFmtId="169">
      <sharedItems containsString="0" containsBlank="1" containsNumber="1" minValue="0" maxValue="22500"/>
    </cacheField>
    <cacheField name="Aide totale" numFmtId="169">
      <sharedItems containsString="0" containsBlank="1" containsNumber="1" minValue="0" maxValue="9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1.516363888892" createdVersion="6" refreshedVersion="7" minRefreshableVersion="3" recordCount="34" xr:uid="{00000000-000A-0000-FFFF-FFFF01000000}">
  <cacheSource type="worksheet">
    <worksheetSource ref="A10:AU1048576" sheet="BdD"/>
  </cacheSource>
  <cacheFields count="54">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7">
        <s v="Partenaire 1"/>
        <s v="Partenaire 2"/>
        <m/>
        <s v="Test" u="1"/>
        <s v="Part 1 " u="1"/>
        <s v="Part 2 " u="1"/>
        <s v="Part 3" u="1"/>
      </sharedItems>
    </cacheField>
    <cacheField name="Semestre" numFmtId="0">
      <sharedItems containsBlank="1" count="7">
        <s v="SEM01"/>
        <s v="SEM02"/>
        <m/>
        <s v="SEM06" u="1"/>
        <s v="SEM05" u="1"/>
        <s v="SEM04" u="1"/>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30"/>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30"/>
    </cacheField>
    <cacheField name="Salaires cat 1" numFmtId="168">
      <sharedItems containsString="0" containsBlank="1" containsNumber="1" containsInteger="1" minValue="5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150000"/>
    </cacheField>
    <cacheField name="dont salaires personnels permanents (statutaires organismes publics)" numFmtId="168">
      <sharedItems containsString="0" containsBlank="1" containsNumber="1" containsInteger="1" minValue="3000" maxValue="3000"/>
    </cacheField>
    <cacheField name="dont salaires sans pers. permanents" numFmtId="168">
      <sharedItems containsString="0" containsBlank="1" containsNumber="1" containsInteger="1" minValue="0" maxValue="147000"/>
    </cacheField>
    <cacheField name="Frais connexes (forfaitaires)" numFmtId="168">
      <sharedItems containsString="0" containsBlank="1" containsNumber="1" containsInteger="1" minValue="0" maxValue="30000"/>
    </cacheField>
    <cacheField name="Coûts de sous-traitance" numFmtId="168">
      <sharedItems containsBlank="1" containsMixedTypes="1" containsNumber="1" containsInteger="1" minValue="10000" maxValue="100000"/>
    </cacheField>
    <cacheField name="Contributions aux amortissements (projet d'innovation)" numFmtId="168">
      <sharedItems containsBlank="1" containsMixedTypes="1" containsNumber="1" containsInteger="1" minValue="0" maxValue="100000"/>
    </cacheField>
    <cacheField name="Equipement Productif (projet d'industrialisation)" numFmtId="168">
      <sharedItems containsString="0" containsBlank="1" containsNumber="1" containsInteger="1" minValue="1000" maxValue="1000"/>
    </cacheField>
    <cacheField name="Coûts de refacturation interne" numFmtId="168">
      <sharedItems containsBlank="1"/>
    </cacheField>
    <cacheField name="Frais de mission" numFmtId="168">
      <sharedItems containsBlank="1"/>
    </cacheField>
    <cacheField name="Autres coûts" numFmtId="168">
      <sharedItems containsBlank="1"/>
    </cacheField>
    <cacheField name="Commentaires" numFmtId="0">
      <sharedItems containsNonDate="0" containsString="0" containsBlank="1"/>
    </cacheField>
    <cacheField name="Total des coûts" numFmtId="168">
      <sharedItems containsString="0" containsBlank="1" containsNumber="1" containsInteger="1" minValue="0" maxValue="180000"/>
    </cacheField>
    <cacheField name="Classification" numFmtId="0">
      <sharedItems containsBlank="1"/>
    </cacheField>
    <cacheField name="Taux aide" numFmtId="0">
      <sharedItems containsString="0" containsBlank="1" containsNumber="1" minValue="0" maxValue="0.6"/>
    </cacheField>
    <cacheField name="Total coûts RI" numFmtId="169">
      <sharedItems containsString="0" containsBlank="1" containsNumber="1" containsInteger="1" minValue="0" maxValue="117200"/>
    </cacheField>
    <cacheField name="Total coûts DE" numFmtId="169">
      <sharedItems containsString="0" containsBlank="1" containsNumber="1" containsInteger="1" minValue="0" maxValue="12000"/>
    </cacheField>
    <cacheField name="Total coût RD" numFmtId="169">
      <sharedItems containsString="0" containsBlank="1" containsNumber="1" containsInteger="1" minValue="0" maxValue="101000"/>
    </cacheField>
    <cacheField name="Total coûts PE" numFmtId="169">
      <sharedItems containsString="0" containsBlank="1" containsNumber="1" containsInteger="1" minValue="0" maxValue="0"/>
    </cacheField>
    <cacheField name="Total coûts PE admissibles" numFmtId="169">
      <sharedItems containsString="0" containsBlank="1" containsNumber="1" containsInteger="1" minValue="0" maxValue="0"/>
    </cacheField>
    <cacheField name="Total coûts éligibles et retenus" numFmtId="169">
      <sharedItems containsString="0" containsBlank="1" containsNumber="1" containsInteger="1" minValue="0" maxValue="117200"/>
    </cacheField>
    <cacheField name="Total coûts non éligibles" numFmtId="169">
      <sharedItems containsString="0" containsBlank="1" containsNumber="1" containsInteger="1" minValue="0" maxValue="3000"/>
    </cacheField>
    <cacheField name="Total coûts non retenus" numFmtId="169">
      <sharedItems containsString="0" containsBlank="1" containsNumber="1" containsInteger="1" minValue="0" maxValue="0"/>
    </cacheField>
    <cacheField name="Total coûts PE non admissibles" numFmtId="169">
      <sharedItems containsString="0" containsBlank="1" containsNumber="1" containsInteger="1" minValue="0" maxValue="0"/>
    </cacheField>
    <cacheField name="Total coûts non éligibles et non retenus" numFmtId="169">
      <sharedItems containsString="0" containsBlank="1" containsNumber="1" containsInteger="1" minValue="0" maxValue="3000"/>
    </cacheField>
    <cacheField name="Subventions" numFmtId="169">
      <sharedItems containsString="0" containsBlank="1" containsNumber="1" minValue="0" maxValue="52740"/>
    </cacheField>
    <cacheField name="Avances remboursables" numFmtId="169">
      <sharedItems containsString="0" containsBlank="1" containsNumber="1" minValue="0" maxValue="17580"/>
    </cacheField>
    <cacheField name="Aide totale" numFmtId="169">
      <sharedItems containsString="0" containsBlank="1" containsNumber="1" containsInteger="1" minValue="0" maxValue="70320"/>
    </cacheField>
    <cacheField name="Taux d'aide (éligibles et retenus)" numFmtId="0" formula="IF('Aide totale'=0,0,'Aide totale'/'Total coûts éligibles et retenus')" databaseField="0"/>
    <cacheField name="Part d'avances remb." numFmtId="0" formula="IF('Aide totale'=0,0,'Avances remboursables'/'Aide totale')" databaseField="0"/>
    <cacheField name="Coût totaux" numFmtId="0" formula="SUM('Total des coûts')" databaseField="0"/>
    <cacheField name="% sous-traitance" numFmtId="0" formula="'Coûts de sous-traitance'/'Total des coûts'" databaseField="0"/>
    <cacheField name="Frais mission / ETP" numFmtId="0" formula="IF(ISERROR(('Frais de mission'/'Total Homme.mois')),0,('Frais de mission'/'Total Homme.mois'))" databaseField="0"/>
    <cacheField name="% de subvention" numFmtId="0" formula="Subventions/'Total coûts éligibles et retenus'" databaseField="0"/>
    <cacheField name="% d'AR" numFmtId="0" formula="'Avances remboursables'/'Total coûts éligibles et retenu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98.721476851853" createdVersion="6" refreshedVersion="7" minRefreshableVersion="3" recordCount="34" xr:uid="{00000000-000A-0000-FFFF-FFFF11000000}">
  <cacheSource type="worksheet">
    <worksheetSource ref="A10:AU1050" sheet="BdD"/>
  </cacheSource>
  <cacheFields count="54">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3">
        <s v="Partenaire 1"/>
        <m/>
        <s v="Partenaire 2" u="1"/>
      </sharedItems>
    </cacheField>
    <cacheField name="Semestre" numFmtId="0">
      <sharedItems containsBlank="1" count="4">
        <s v="SEM01"/>
        <s v="SEM02"/>
        <m/>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1"/>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1"/>
    </cacheField>
    <cacheField name="Salaires cat 1" numFmtId="168">
      <sharedItems containsString="0" containsBlank="1" containsNumber="1" containsInteger="1" minValue="10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10000"/>
    </cacheField>
    <cacheField name="dont salaires personnels permanents (statutaires organismes publics)" numFmtId="168">
      <sharedItems containsNonDate="0" containsString="0" containsBlank="1"/>
    </cacheField>
    <cacheField name="dont salaires sans pers. permanents" numFmtId="168">
      <sharedItems containsString="0" containsBlank="1" containsNumber="1" containsInteger="1" minValue="0" maxValue="10000"/>
    </cacheField>
    <cacheField name="Frais connexes (forfaitaires)" numFmtId="168">
      <sharedItems containsString="0" containsBlank="1" containsNumber="1" containsInteger="1" minValue="0" maxValue="2000"/>
    </cacheField>
    <cacheField name="Coûts de sous-traitance" numFmtId="168">
      <sharedItems containsBlank="1" containsMixedTypes="1" containsNumber="1" containsInteger="1" minValue="10000" maxValue="10000"/>
    </cacheField>
    <cacheField name="Contributions aux amortissements (projet d'innovation)" numFmtId="168">
      <sharedItems containsBlank="1" containsMixedTypes="1" containsNumber="1" containsInteger="1" minValue="0" maxValue="100000"/>
    </cacheField>
    <cacheField name="Equipement Productif (projet d'industrialisation)" numFmtId="168">
      <sharedItems containsBlank="1" containsMixedTypes="1" containsNumber="1" containsInteger="1" minValue="100000" maxValue="100000"/>
    </cacheField>
    <cacheField name="Coûts de refacturation interne" numFmtId="168">
      <sharedItems containsBlank="1"/>
    </cacheField>
    <cacheField name="Frais de mission" numFmtId="168">
      <sharedItems containsBlank="1"/>
    </cacheField>
    <cacheField name="Autres coûts" numFmtId="168">
      <sharedItems containsBlank="1" containsMixedTypes="1" containsNumber="1" containsInteger="1" minValue="100000" maxValue="100000"/>
    </cacheField>
    <cacheField name="Commentaires" numFmtId="0">
      <sharedItems containsNonDate="0" containsString="0" containsBlank="1"/>
    </cacheField>
    <cacheField name="Total des coûts" numFmtId="168">
      <sharedItems containsString="0" containsBlank="1" containsNumber="1" containsInteger="1" minValue="0" maxValue="117200"/>
    </cacheField>
    <cacheField name="Classification" numFmtId="0">
      <sharedItems containsBlank="1"/>
    </cacheField>
    <cacheField name="Taux aide" numFmtId="0">
      <sharedItems containsString="0" containsBlank="1" containsNumber="1" minValue="0" maxValue="0.65"/>
    </cacheField>
    <cacheField name="Total coûts RI" numFmtId="169">
      <sharedItems containsString="0" containsBlank="1" containsNumber="1" containsInteger="1" minValue="0" maxValue="117200"/>
    </cacheField>
    <cacheField name="Total coûts DE" numFmtId="169">
      <sharedItems containsString="0" containsBlank="1" containsNumber="1" containsInteger="1" minValue="0" maxValue="12000"/>
    </cacheField>
    <cacheField name="Total coût RD" numFmtId="169">
      <sharedItems containsString="0" containsBlank="1" containsNumber="1" containsInteger="1" minValue="0" maxValue="100000"/>
    </cacheField>
    <cacheField name="Total coûts PE" numFmtId="169">
      <sharedItems containsString="0" containsBlank="1" containsNumber="1" containsInteger="1" minValue="0" maxValue="100000"/>
    </cacheField>
    <cacheField name="Total coûts PE admissibles" numFmtId="169">
      <sharedItems containsString="0" containsBlank="1" containsNumber="1" containsInteger="1" minValue="0" maxValue="99960"/>
    </cacheField>
    <cacheField name="Total coûts éligibles et retenus" numFmtId="169">
      <sharedItems containsString="0" containsBlank="1" containsNumber="1" containsInteger="1" minValue="0" maxValue="117200"/>
    </cacheField>
    <cacheField name="Total coûts non éligibles" numFmtId="169">
      <sharedItems containsString="0" containsBlank="1" containsNumber="1" containsInteger="1" minValue="0" maxValue="0"/>
    </cacheField>
    <cacheField name="Total coûts non retenus" numFmtId="169">
      <sharedItems containsString="0" containsBlank="1" containsNumber="1" containsInteger="1" minValue="0" maxValue="0"/>
    </cacheField>
    <cacheField name="Total coûts PE non admissibles" numFmtId="169">
      <sharedItems containsString="0" containsBlank="1" containsNumber="1" containsInteger="1" minValue="0" maxValue="40"/>
    </cacheField>
    <cacheField name="Total coûts non éligibles et non retenus" numFmtId="169">
      <sharedItems containsString="0" containsBlank="1" containsNumber="1" containsInteger="1" minValue="0" maxValue="40"/>
    </cacheField>
    <cacheField name="Subventions" numFmtId="169">
      <sharedItems containsString="0" containsBlank="1" containsNumber="1" minValue="0" maxValue="45708"/>
    </cacheField>
    <cacheField name="Avances remboursables" numFmtId="169">
      <sharedItems containsString="0" containsBlank="1" containsNumber="1" minValue="0" maxValue="30472"/>
    </cacheField>
    <cacheField name="Aide totale" numFmtId="169">
      <sharedItems containsString="0" containsBlank="1" containsNumber="1" containsInteger="1" minValue="0" maxValue="76180"/>
    </cacheField>
    <cacheField name="Taux d'aide (éligibles et retenus)" numFmtId="0" formula="IF('Aide totale'=0,0,'Aide totale'/'Total coûts éligibles et retenus')" databaseField="0"/>
    <cacheField name="Part d'avances remb." numFmtId="0" formula="IF('Aide totale'=0,0,'Avances remboursables'/'Aide totale')" databaseField="0"/>
    <cacheField name="Coût totaux" numFmtId="0" formula="SUM('Total des coûts')" databaseField="0"/>
    <cacheField name="% sous-traitance" numFmtId="0" formula="'Coûts de sous-traitance'/'Total des coûts'" databaseField="0"/>
    <cacheField name="Frais mission / ETP" numFmtId="0" formula="IF(ISERROR(('Frais de mission'/'Total Homme.mois')),0,('Frais de mission'/'Total Homme.mois'))" databaseField="0"/>
    <cacheField name="% de subvention" numFmtId="0" formula="Subventions/'Total coûts éligibles et retenus'" databaseField="0"/>
    <cacheField name="% d'AR" numFmtId="0" formula="'Avances remboursables'/'Total coûts éligibles et retenu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eur" refreshedDate="44698.723470138888" createdVersion="6" refreshedVersion="7" minRefreshableVersion="3" recordCount="33" xr:uid="{00000000-000A-0000-FFFF-FFFF03000000}">
  <cacheSource type="worksheet">
    <worksheetSource ref="A10:AU43" sheet="BdD"/>
  </cacheSource>
  <cacheFields count="62">
    <cacheField name="Lot" numFmtId="0">
      <sharedItems containsBlank="1" count="5">
        <s v="LOT 0"/>
        <s v="LOT 1"/>
        <s v="LOT 2"/>
        <s v="LOT 3"/>
        <m/>
      </sharedItems>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166">
      <sharedItems/>
    </cacheField>
    <cacheField name="Intitulé de l'activité" numFmtId="0">
      <sharedItems containsMixedTypes="1" containsNumber="1" containsInteger="1" minValue="0" maxValue="0"/>
    </cacheField>
    <cacheField name="Partenaire" numFmtId="0">
      <sharedItems containsBlank="1" count="7">
        <s v="Partenaire 1"/>
        <m/>
        <s v="Partenaire 2" u="1"/>
        <s v="Test" u="1"/>
        <s v="Part 1 " u="1"/>
        <s v="Part 2 " u="1"/>
        <s v="Part 3" u="1"/>
      </sharedItems>
    </cacheField>
    <cacheField name="Semestre" numFmtId="0">
      <sharedItems containsBlank="1" count="4">
        <s v="SEM01"/>
        <s v="SEM02"/>
        <m/>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2">
      <sharedItems containsString="0" containsBlank="1" containsNumber="1" containsInteger="1" minValue="1" maxValue="1"/>
    </cacheField>
    <cacheField name="Homme.mois cat 2" numFmtId="2">
      <sharedItems containsString="0" containsBlank="1" containsNumber="1" containsInteger="1" minValue="1" maxValue="1"/>
    </cacheField>
    <cacheField name="Homme.mois cat 3" numFmtId="2">
      <sharedItems containsNonDate="0" containsString="0" containsBlank="1"/>
    </cacheField>
    <cacheField name="Homme.mois cat 4" numFmtId="2">
      <sharedItems containsNonDate="0" containsString="0" containsBlank="1"/>
    </cacheField>
    <cacheField name="Homme.mois cat 5" numFmtId="2">
      <sharedItems containsNonDate="0" containsString="0" containsBlank="1"/>
    </cacheField>
    <cacheField name="Total Homme.mois" numFmtId="2">
      <sharedItems containsSemiMixedTypes="0" containsString="0" containsNumber="1" containsInteger="1" minValue="0" maxValue="1"/>
    </cacheField>
    <cacheField name="Salaires cat 1" numFmtId="168">
      <sharedItems containsString="0" containsBlank="1" containsNumber="1" containsInteger="1" minValue="10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emiMixedTypes="0" containsString="0" containsNumber="1" containsInteger="1" minValue="0" maxValue="10000"/>
    </cacheField>
    <cacheField name="dont salaires personnels permanents (statutaires organismes publics)" numFmtId="168">
      <sharedItems containsNonDate="0" containsString="0" containsBlank="1"/>
    </cacheField>
    <cacheField name="dont salaires sans pers. permanents" numFmtId="168">
      <sharedItems containsSemiMixedTypes="0" containsString="0" containsNumber="1" containsInteger="1" minValue="0" maxValue="10000"/>
    </cacheField>
    <cacheField name="Frais connexes (forfaitaires)" numFmtId="168">
      <sharedItems containsSemiMixedTypes="0" containsString="0" containsNumber="1" containsInteger="1" minValue="0" maxValue="2000"/>
    </cacheField>
    <cacheField name="Coûts de sous-traitance" numFmtId="168">
      <sharedItems containsMixedTypes="1" containsNumber="1" containsInteger="1" minValue="10000" maxValue="10000"/>
    </cacheField>
    <cacheField name="Contributions aux amortissements (projet d'innovation)" numFmtId="168">
      <sharedItems containsMixedTypes="1" containsNumber="1" containsInteger="1" minValue="0" maxValue="100000" count="3">
        <n v="0"/>
        <n v="100000"/>
        <s v=""/>
      </sharedItems>
    </cacheField>
    <cacheField name="Equipement Productif (projet d'industrialisation)" numFmtId="168">
      <sharedItems containsMixedTypes="1" containsNumber="1" containsInteger="1" minValue="100000" maxValue="100000"/>
    </cacheField>
    <cacheField name="Coûts de refacturation interne" numFmtId="168">
      <sharedItems/>
    </cacheField>
    <cacheField name="Frais de mission" numFmtId="168">
      <sharedItems/>
    </cacheField>
    <cacheField name="Autres coûts" numFmtId="168">
      <sharedItems containsMixedTypes="1" containsNumber="1" containsInteger="1" minValue="100000" maxValue="100000"/>
    </cacheField>
    <cacheField name="Commentaires" numFmtId="0">
      <sharedItems containsNonDate="0" containsString="0" containsBlank="1"/>
    </cacheField>
    <cacheField name="Total des coûts" numFmtId="168">
      <sharedItems containsSemiMixedTypes="0" containsString="0" containsNumber="1" containsInteger="1" minValue="0" maxValue="117200"/>
    </cacheField>
    <cacheField name="Classification" numFmtId="0">
      <sharedItems containsBlank="1" count="7">
        <s v="DE"/>
        <s v="RI"/>
        <s v="RD"/>
        <s v="PE"/>
        <m/>
        <s v="NR" u="1"/>
        <s v="NE" u="1"/>
      </sharedItems>
      <fieldGroup par="53"/>
    </cacheField>
    <cacheField name="Taux aide" numFmtId="9">
      <sharedItems containsSemiMixedTypes="0" containsString="0" containsNumber="1" minValue="0" maxValue="0.65"/>
    </cacheField>
    <cacheField name="Total coûts RI" numFmtId="169">
      <sharedItems containsSemiMixedTypes="0" containsString="0" containsNumber="1" containsInteger="1" minValue="0" maxValue="117200"/>
    </cacheField>
    <cacheField name="Total coûts DE" numFmtId="169">
      <sharedItems containsSemiMixedTypes="0" containsString="0" containsNumber="1" containsInteger="1" minValue="0" maxValue="12000"/>
    </cacheField>
    <cacheField name="Total coût RD" numFmtId="169">
      <sharedItems containsSemiMixedTypes="0" containsString="0" containsNumber="1" containsInteger="1" minValue="0" maxValue="100000"/>
    </cacheField>
    <cacheField name="Total coûts PE" numFmtId="169">
      <sharedItems containsSemiMixedTypes="0" containsString="0" containsNumber="1" containsInteger="1" minValue="0" maxValue="100000"/>
    </cacheField>
    <cacheField name="Total coûts PE admissibles" numFmtId="169">
      <sharedItems containsSemiMixedTypes="0" containsString="0" containsNumber="1" containsInteger="1" minValue="0" maxValue="99960"/>
    </cacheField>
    <cacheField name="Total coûts éligibles et retenus" numFmtId="169">
      <sharedItems containsSemiMixedTypes="0" containsString="0" containsNumber="1" containsInteger="1" minValue="0" maxValue="117200"/>
    </cacheField>
    <cacheField name="Total coûts non éligibles" numFmtId="169">
      <sharedItems containsSemiMixedTypes="0" containsString="0" containsNumber="1" containsInteger="1" minValue="0" maxValue="0"/>
    </cacheField>
    <cacheField name="Total coûts non retenus" numFmtId="169">
      <sharedItems containsSemiMixedTypes="0" containsString="0" containsNumber="1" containsInteger="1" minValue="0" maxValue="0"/>
    </cacheField>
    <cacheField name="Total coûts PE non admissibles" numFmtId="169">
      <sharedItems containsSemiMixedTypes="0" containsString="0" containsNumber="1" containsInteger="1" minValue="0" maxValue="40"/>
    </cacheField>
    <cacheField name="Total coûts non éligibles et non retenus" numFmtId="169">
      <sharedItems containsSemiMixedTypes="0" containsString="0" containsNumber="1" containsInteger="1" minValue="0" maxValue="40"/>
    </cacheField>
    <cacheField name="Subventions" numFmtId="169">
      <sharedItems containsSemiMixedTypes="0" containsString="0" containsNumber="1" minValue="0" maxValue="45708"/>
    </cacheField>
    <cacheField name="Avances remboursables" numFmtId="169">
      <sharedItems containsSemiMixedTypes="0" containsString="0" containsNumber="1" minValue="0" maxValue="30472"/>
    </cacheField>
    <cacheField name="Aide totale" numFmtId="169">
      <sharedItems containsSemiMixedTypes="0" containsString="0" containsNumber="1" containsInteger="1" minValue="0" maxValue="76180"/>
    </cacheField>
    <cacheField name="% Frais connexe PME_GE" numFmtId="0" formula="'Frais connexes (forfaitaires)'/'Salaires chargés non environnés'" databaseField="0"/>
    <cacheField name="Champ1" numFmtId="0" formula=" 0" databaseField="0"/>
    <cacheField name="% subvention/aide totale" numFmtId="0" formula="Subventions/'Aide totale'" databaseField="0"/>
    <cacheField name="% d'avance remboursable/aide total" numFmtId="0" formula="'Avances remboursables'/'Aide totale'" databaseField="0"/>
    <cacheField name="% aide totale/ coûts éligibles et retenus" numFmtId="0" formula="'Aide totale'/'Total coûts éligibles et retenus'" databaseField="0"/>
    <cacheField name="Effet levier" numFmtId="0" formula=" ('Total des coûts'-'Aide totale')/('Aide totale')" databaseField="0"/>
    <cacheField name="Classification2" numFmtId="0" databaseField="0">
      <fieldGroup base="32">
        <discretePr count="7">
          <x v="2"/>
          <x v="2"/>
          <x v="4"/>
          <x v="0"/>
          <x v="1"/>
          <x v="3"/>
          <x v="3"/>
        </discretePr>
        <groupItems count="5">
          <s v="PE"/>
          <m/>
          <s v="Groupe1"/>
          <s v="Groupe2"/>
          <s v="RD"/>
        </groupItems>
      </fieldGroup>
    </cacheField>
    <cacheField name="Part d'avances remb." numFmtId="0" formula="#NAME?/#NAME?" databaseField="0"/>
    <cacheField name="Taux d'aide (éligibles et retenus)" numFmtId="0" formula="#NAME?/#NAME?" databaseField="0"/>
    <cacheField name="% de subvention" numFmtId="0" formula="Subventions/'Total coûts éligibles et retenus'" databaseField="0"/>
    <cacheField name="% d'AR" numFmtId="0" formula="'Avances remboursables'/'Total coûts éligibles et retenus'" databaseField="0"/>
    <cacheField name="Description des couts" numFmtId="0" formula="'Coûts de sous-traitance'+'Coûts de refacturation interne'+'Frais de mission'+'Autres coûts'" databaseField="0"/>
    <cacheField name="Champ2" numFmtId="0" formula="'Coûts de sous-traitance'+'Coûts de refacturation interne'+'Frais de mission'+'Autres coûts'" databaseField="0"/>
    <cacheField name="Champ3" numFmtId="0" formula="IFERROR('Frais de mission'/'Total Homme.mois',&quot;0&quot;)" databaseField="0"/>
    <cacheField name="soustrait/couts tot" numFmtId="0" formula="'Coûts de sous-traitance'/'Total des coû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s v="SEM01"/>
    <m/>
    <m/>
    <n v="1"/>
    <m/>
    <m/>
    <m/>
    <m/>
    <n v="1"/>
    <n v="10000"/>
    <m/>
    <m/>
    <m/>
    <m/>
    <n v="10000"/>
    <m/>
    <n v="10000"/>
    <n v="2000"/>
    <s v=""/>
    <n v="0"/>
    <n v="1000"/>
    <s v=""/>
    <s v=""/>
    <s v=""/>
    <m/>
    <n v="13000"/>
    <s v="DE"/>
    <n v="0.6"/>
    <n v="0"/>
    <n v="13000"/>
    <n v="0"/>
    <n v="0"/>
    <n v="13000"/>
    <n v="0"/>
    <n v="0"/>
    <n v="0"/>
    <n v="0"/>
    <n v="5850"/>
    <n v="1950"/>
    <n v="7800"/>
  </r>
  <r>
    <s v="LOT 0"/>
    <n v="1"/>
    <n v="1"/>
    <s v="LOT 011"/>
    <s v="Tache de DE"/>
    <x v="0"/>
    <s v="SEM02"/>
    <m/>
    <m/>
    <n v="1"/>
    <m/>
    <m/>
    <m/>
    <m/>
    <n v="1"/>
    <n v="10000"/>
    <m/>
    <m/>
    <m/>
    <m/>
    <n v="10000"/>
    <m/>
    <n v="10000"/>
    <n v="2000"/>
    <s v=""/>
    <n v="0"/>
    <m/>
    <s v=""/>
    <s v=""/>
    <s v=""/>
    <m/>
    <n v="12000"/>
    <s v="NE"/>
    <n v="0"/>
    <n v="0"/>
    <n v="0"/>
    <n v="0"/>
    <n v="0"/>
    <n v="0"/>
    <n v="12000"/>
    <n v="0"/>
    <n v="0"/>
    <n v="12000"/>
    <n v="0"/>
    <n v="0"/>
    <n v="0"/>
  </r>
  <r>
    <s v="LOT 1"/>
    <n v="1"/>
    <n v="1"/>
    <s v="LOT 111"/>
    <s v="Tache de RI"/>
    <x v="0"/>
    <s v="SEM01"/>
    <m/>
    <m/>
    <m/>
    <n v="1"/>
    <m/>
    <m/>
    <m/>
    <n v="1"/>
    <m/>
    <n v="6000"/>
    <m/>
    <m/>
    <m/>
    <n v="6000"/>
    <m/>
    <n v="6000"/>
    <n v="1200"/>
    <n v="10000"/>
    <n v="100000"/>
    <m/>
    <s v=""/>
    <s v=""/>
    <s v=""/>
    <m/>
    <n v="117200"/>
    <s v="RI"/>
    <n v="0.6"/>
    <n v="117200"/>
    <n v="0"/>
    <n v="0"/>
    <n v="0"/>
    <n v="117200"/>
    <n v="0"/>
    <n v="0"/>
    <n v="0"/>
    <n v="0"/>
    <n v="52740"/>
    <n v="17580"/>
    <n v="70320"/>
  </r>
  <r>
    <s v="LOT 1"/>
    <n v="1"/>
    <n v="1"/>
    <s v="LOT 111"/>
    <s v="Tache de RI"/>
    <x v="0"/>
    <s v="SEM02"/>
    <m/>
    <m/>
    <m/>
    <n v="1"/>
    <m/>
    <m/>
    <m/>
    <n v="1"/>
    <m/>
    <n v="6000"/>
    <m/>
    <m/>
    <m/>
    <n v="6000"/>
    <m/>
    <n v="6000"/>
    <n v="1200"/>
    <s v=""/>
    <n v="100000"/>
    <m/>
    <s v=""/>
    <s v=""/>
    <s v=""/>
    <m/>
    <n v="107200"/>
    <s v="RI"/>
    <n v="0.6"/>
    <n v="107200"/>
    <n v="0"/>
    <n v="0"/>
    <n v="0"/>
    <n v="107200"/>
    <n v="0"/>
    <n v="0"/>
    <n v="0"/>
    <n v="0"/>
    <n v="48240"/>
    <n v="16080"/>
    <n v="64320"/>
  </r>
  <r>
    <s v="LOT 2"/>
    <n v="1"/>
    <n v="1"/>
    <s v="LOT 211"/>
    <s v="Tache de RD"/>
    <x v="0"/>
    <s v="SEM01"/>
    <m/>
    <m/>
    <m/>
    <m/>
    <m/>
    <m/>
    <m/>
    <n v="0"/>
    <m/>
    <m/>
    <m/>
    <m/>
    <m/>
    <n v="0"/>
    <m/>
    <n v="0"/>
    <n v="0"/>
    <s v=""/>
    <n v="0"/>
    <m/>
    <s v=""/>
    <s v=""/>
    <n v="100000"/>
    <m/>
    <n v="100000"/>
    <s v="PE"/>
    <n v="0.35"/>
    <n v="0"/>
    <n v="0"/>
    <n v="100000"/>
    <n v="99950"/>
    <n v="99950"/>
    <n v="0"/>
    <n v="0"/>
    <n v="50"/>
    <n v="50"/>
    <n v="26236.875"/>
    <n v="8745.625"/>
    <n v="34982.5"/>
  </r>
  <r>
    <s v="LOT 3"/>
    <n v="1"/>
    <n v="1"/>
    <s v="LOT 311"/>
    <s v="Recherche"/>
    <x v="1"/>
    <s v="SEM01"/>
    <m/>
    <m/>
    <n v="30"/>
    <m/>
    <m/>
    <m/>
    <m/>
    <n v="30"/>
    <n v="5000"/>
    <m/>
    <m/>
    <m/>
    <m/>
    <n v="150000"/>
    <n v="3000"/>
    <n v="147000"/>
    <n v="30000"/>
    <s v=""/>
    <n v="0"/>
    <m/>
    <s v=""/>
    <s v=""/>
    <s v=""/>
    <m/>
    <n v="180000"/>
    <s v="RI"/>
    <n v="0.5"/>
    <n v="180000"/>
    <n v="0"/>
    <n v="0"/>
    <n v="0"/>
    <n v="180000"/>
    <n v="3000"/>
    <n v="0"/>
    <n v="0"/>
    <n v="3000"/>
    <n v="67500"/>
    <n v="22500"/>
    <n v="9000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m/>
    <m/>
    <x v="2"/>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x v="0"/>
    <m/>
    <m/>
    <n v="1"/>
    <m/>
    <m/>
    <m/>
    <m/>
    <n v="1"/>
    <n v="10000"/>
    <m/>
    <m/>
    <m/>
    <m/>
    <n v="10000"/>
    <m/>
    <n v="10000"/>
    <n v="2000"/>
    <s v=""/>
    <n v="0"/>
    <m/>
    <s v=""/>
    <s v=""/>
    <s v=""/>
    <m/>
    <n v="12000"/>
    <s v="DE"/>
    <n v="0.35"/>
    <n v="0"/>
    <n v="12000"/>
    <n v="0"/>
    <n v="0"/>
    <n v="0"/>
    <n v="12000"/>
    <n v="0"/>
    <n v="0"/>
    <n v="0"/>
    <n v="0"/>
    <n v="3150"/>
    <n v="1050"/>
    <n v="4200"/>
  </r>
  <r>
    <s v="LOT 0"/>
    <n v="1"/>
    <n v="1"/>
    <s v="LOT 011"/>
    <s v="Tache de DE"/>
    <x v="0"/>
    <x v="1"/>
    <m/>
    <m/>
    <n v="1"/>
    <m/>
    <m/>
    <m/>
    <m/>
    <n v="1"/>
    <n v="10000"/>
    <m/>
    <m/>
    <m/>
    <m/>
    <n v="10000"/>
    <m/>
    <n v="10000"/>
    <n v="2000"/>
    <s v=""/>
    <n v="0"/>
    <m/>
    <s v=""/>
    <s v=""/>
    <s v=""/>
    <m/>
    <n v="12000"/>
    <s v="DE"/>
    <n v="0.35"/>
    <n v="0"/>
    <n v="12000"/>
    <n v="0"/>
    <n v="0"/>
    <n v="0"/>
    <n v="12000"/>
    <n v="0"/>
    <n v="0"/>
    <n v="0"/>
    <n v="0"/>
    <n v="3150"/>
    <n v="1050"/>
    <n v="4200"/>
  </r>
  <r>
    <s v="LOT 1"/>
    <n v="1"/>
    <n v="1"/>
    <s v="LOT 111"/>
    <s v="Tache de RI"/>
    <x v="0"/>
    <x v="0"/>
    <m/>
    <m/>
    <m/>
    <n v="1"/>
    <m/>
    <m/>
    <m/>
    <n v="1"/>
    <m/>
    <n v="6000"/>
    <m/>
    <m/>
    <m/>
    <n v="6000"/>
    <m/>
    <n v="6000"/>
    <n v="1200"/>
    <n v="10000"/>
    <n v="100000"/>
    <m/>
    <s v=""/>
    <s v=""/>
    <s v=""/>
    <m/>
    <n v="117200"/>
    <s v="RI"/>
    <n v="0.6"/>
    <n v="117200"/>
    <n v="0"/>
    <n v="0"/>
    <n v="0"/>
    <n v="0"/>
    <n v="117200"/>
    <n v="0"/>
    <n v="0"/>
    <n v="0"/>
    <n v="0"/>
    <n v="52740"/>
    <n v="17580"/>
    <n v="70320"/>
  </r>
  <r>
    <s v="LOT 1"/>
    <n v="1"/>
    <n v="1"/>
    <s v="LOT 111"/>
    <s v="Tache de RI"/>
    <x v="0"/>
    <x v="1"/>
    <m/>
    <m/>
    <m/>
    <n v="1"/>
    <m/>
    <m/>
    <m/>
    <n v="1"/>
    <m/>
    <n v="6000"/>
    <m/>
    <m/>
    <m/>
    <n v="6000"/>
    <m/>
    <n v="6000"/>
    <n v="1200"/>
    <s v=""/>
    <n v="100000"/>
    <m/>
    <s v=""/>
    <s v=""/>
    <s v=""/>
    <m/>
    <n v="107200"/>
    <s v="RI"/>
    <n v="0.6"/>
    <n v="107200"/>
    <n v="0"/>
    <n v="0"/>
    <n v="0"/>
    <n v="0"/>
    <n v="107200"/>
    <n v="0"/>
    <n v="0"/>
    <n v="0"/>
    <n v="0"/>
    <n v="48240"/>
    <n v="16080"/>
    <n v="64320"/>
  </r>
  <r>
    <s v="LOT 2"/>
    <n v="1"/>
    <n v="1"/>
    <s v="LOT 211"/>
    <s v="Tache de RD"/>
    <x v="0"/>
    <x v="0"/>
    <m/>
    <m/>
    <m/>
    <m/>
    <m/>
    <m/>
    <m/>
    <n v="0"/>
    <m/>
    <m/>
    <m/>
    <m/>
    <m/>
    <n v="0"/>
    <m/>
    <n v="0"/>
    <n v="0"/>
    <n v="100000"/>
    <n v="0"/>
    <n v="1000"/>
    <s v=""/>
    <s v=""/>
    <s v=""/>
    <m/>
    <n v="101000"/>
    <s v="RD"/>
    <n v="0.25"/>
    <n v="0"/>
    <n v="0"/>
    <n v="101000"/>
    <n v="0"/>
    <n v="0"/>
    <n v="101000"/>
    <n v="0"/>
    <n v="0"/>
    <n v="0"/>
    <n v="0"/>
    <n v="18937.5"/>
    <n v="6312.5"/>
    <n v="25250"/>
  </r>
  <r>
    <s v="LOT 3"/>
    <n v="1"/>
    <n v="1"/>
    <s v="LOT 311"/>
    <s v="Recherche"/>
    <x v="1"/>
    <x v="0"/>
    <m/>
    <m/>
    <n v="30"/>
    <m/>
    <m/>
    <m/>
    <m/>
    <n v="30"/>
    <n v="5000"/>
    <m/>
    <m/>
    <m/>
    <m/>
    <n v="150000"/>
    <n v="3000"/>
    <n v="147000"/>
    <n v="30000"/>
    <s v=""/>
    <n v="0"/>
    <m/>
    <s v=""/>
    <s v=""/>
    <s v=""/>
    <m/>
    <n v="180000"/>
    <m/>
    <n v="0"/>
    <n v="0"/>
    <n v="0"/>
    <n v="0"/>
    <n v="0"/>
    <n v="0"/>
    <n v="0"/>
    <n v="3000"/>
    <n v="0"/>
    <n v="0"/>
    <n v="300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m/>
    <m/>
    <x v="2"/>
    <x v="2"/>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x v="0"/>
    <m/>
    <m/>
    <n v="1"/>
    <m/>
    <m/>
    <m/>
    <m/>
    <n v="1"/>
    <n v="10000"/>
    <m/>
    <m/>
    <m/>
    <m/>
    <n v="10000"/>
    <m/>
    <n v="10000"/>
    <n v="2000"/>
    <s v=""/>
    <n v="0"/>
    <s v=""/>
    <s v=""/>
    <s v=""/>
    <s v=""/>
    <m/>
    <n v="12000"/>
    <s v="DE"/>
    <n v="0.4"/>
    <n v="0"/>
    <n v="12000"/>
    <n v="0"/>
    <n v="0"/>
    <n v="0"/>
    <n v="12000"/>
    <n v="0"/>
    <n v="0"/>
    <n v="0"/>
    <n v="0"/>
    <n v="2880"/>
    <n v="1920"/>
    <n v="4800"/>
  </r>
  <r>
    <s v="LOT 0"/>
    <n v="1"/>
    <n v="1"/>
    <s v="LOT 011"/>
    <s v="Tache de DE"/>
    <x v="0"/>
    <x v="1"/>
    <m/>
    <m/>
    <n v="1"/>
    <m/>
    <m/>
    <m/>
    <m/>
    <n v="1"/>
    <n v="10000"/>
    <m/>
    <m/>
    <m/>
    <m/>
    <n v="10000"/>
    <m/>
    <n v="10000"/>
    <n v="2000"/>
    <s v=""/>
    <n v="0"/>
    <s v=""/>
    <s v=""/>
    <s v=""/>
    <s v=""/>
    <m/>
    <n v="12000"/>
    <s v="DE"/>
    <n v="0.4"/>
    <n v="0"/>
    <n v="12000"/>
    <n v="0"/>
    <n v="0"/>
    <n v="0"/>
    <n v="12000"/>
    <n v="0"/>
    <n v="0"/>
    <n v="0"/>
    <n v="0"/>
    <n v="2880"/>
    <n v="1920"/>
    <n v="4800"/>
  </r>
  <r>
    <s v="LOT 1"/>
    <n v="1"/>
    <n v="1"/>
    <s v="LOT 111"/>
    <s v="Tache de RI"/>
    <x v="0"/>
    <x v="0"/>
    <m/>
    <m/>
    <m/>
    <n v="1"/>
    <m/>
    <m/>
    <m/>
    <n v="1"/>
    <m/>
    <n v="6000"/>
    <m/>
    <m/>
    <m/>
    <n v="6000"/>
    <m/>
    <n v="6000"/>
    <n v="1200"/>
    <n v="10000"/>
    <n v="100000"/>
    <s v=""/>
    <s v=""/>
    <s v=""/>
    <s v=""/>
    <m/>
    <n v="117200"/>
    <s v="RI"/>
    <n v="0.65"/>
    <n v="117200"/>
    <n v="0"/>
    <n v="0"/>
    <n v="0"/>
    <n v="0"/>
    <n v="117200"/>
    <n v="0"/>
    <n v="0"/>
    <n v="0"/>
    <n v="0"/>
    <n v="45708"/>
    <n v="30472"/>
    <n v="76180"/>
  </r>
  <r>
    <s v="LOT 1"/>
    <n v="1"/>
    <n v="1"/>
    <s v="LOT 111"/>
    <s v="Tache de RI"/>
    <x v="0"/>
    <x v="1"/>
    <m/>
    <m/>
    <m/>
    <n v="1"/>
    <m/>
    <m/>
    <m/>
    <n v="1"/>
    <m/>
    <n v="6000"/>
    <m/>
    <m/>
    <m/>
    <n v="6000"/>
    <m/>
    <n v="6000"/>
    <n v="1200"/>
    <s v=""/>
    <n v="100000"/>
    <s v=""/>
    <s v=""/>
    <s v=""/>
    <s v=""/>
    <m/>
    <n v="107200"/>
    <s v="RI"/>
    <n v="0.65"/>
    <n v="107200"/>
    <n v="0"/>
    <n v="0"/>
    <n v="0"/>
    <n v="0"/>
    <n v="107200"/>
    <n v="0"/>
    <n v="0"/>
    <n v="0"/>
    <n v="0"/>
    <n v="41808"/>
    <n v="27872"/>
    <n v="69680"/>
  </r>
  <r>
    <s v="LOT 2"/>
    <n v="1"/>
    <n v="1"/>
    <s v="LOT 211"/>
    <s v="Tache de RD"/>
    <x v="0"/>
    <x v="0"/>
    <m/>
    <m/>
    <m/>
    <m/>
    <m/>
    <m/>
    <m/>
    <n v="0"/>
    <m/>
    <m/>
    <m/>
    <m/>
    <m/>
    <n v="0"/>
    <m/>
    <n v="0"/>
    <n v="0"/>
    <s v=""/>
    <n v="0"/>
    <n v="100000"/>
    <s v=""/>
    <s v=""/>
    <s v=""/>
    <m/>
    <n v="100000"/>
    <s v="RD"/>
    <n v="0.15"/>
    <n v="0"/>
    <n v="0"/>
    <n v="100000"/>
    <n v="0"/>
    <n v="0"/>
    <n v="100000"/>
    <n v="0"/>
    <n v="0"/>
    <n v="0"/>
    <n v="0"/>
    <n v="9000"/>
    <n v="6000"/>
    <n v="15000"/>
  </r>
  <r>
    <s v="LOT 3"/>
    <n v="1"/>
    <n v="1"/>
    <s v="LOT 311"/>
    <s v="Tache de PE"/>
    <x v="0"/>
    <x v="1"/>
    <m/>
    <m/>
    <m/>
    <m/>
    <m/>
    <m/>
    <m/>
    <n v="0"/>
    <m/>
    <m/>
    <m/>
    <m/>
    <m/>
    <n v="0"/>
    <m/>
    <n v="0"/>
    <n v="0"/>
    <s v=""/>
    <n v="0"/>
    <s v=""/>
    <s v=""/>
    <s v=""/>
    <n v="100000"/>
    <m/>
    <n v="100000"/>
    <s v="PE"/>
    <n v="0.4"/>
    <n v="0"/>
    <n v="0"/>
    <n v="0"/>
    <n v="100000"/>
    <n v="99960"/>
    <n v="99960"/>
    <n v="0"/>
    <n v="0"/>
    <n v="40"/>
    <n v="40"/>
    <n v="23990.400000000001"/>
    <n v="15993.6"/>
    <n v="39984"/>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m/>
    <m/>
    <x v="1"/>
    <x v="2"/>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4000000}" name="Tableau croisé dynamique5" cacheId="3" applyNumberFormats="0" applyBorderFormats="0" applyFontFormats="0" applyPatternFormats="0" applyAlignmentFormats="0" applyWidthHeightFormats="1" dataCaption="Valeurs" updatedVersion="7" minRefreshableVersion="3" itemPrintTitles="1" createdVersion="6" indent="0" outline="1" outlineData="1" multipleFieldFilters="0" chartFormat="1">
  <location ref="B59:C65" firstHeaderRow="1" firstDataRow="1" firstDataCol="1" rowPageCount="1" colPageCount="1"/>
  <pivotFields count="62">
    <pivotField axis="axisRow" showAll="0" sortType="ascending">
      <items count="6">
        <item x="0"/>
        <item x="1"/>
        <item x="2"/>
        <item x="3"/>
        <item x="4"/>
        <item t="default"/>
      </items>
    </pivotField>
    <pivotField showAll="0"/>
    <pivotField showAll="0"/>
    <pivotField showAll="0" defaultSubtotal="0"/>
    <pivotField showAll="0"/>
    <pivotField axis="axisPage" showAll="0">
      <items count="8">
        <item m="1" x="4"/>
        <item m="1" x="5"/>
        <item m="1" x="6"/>
        <item x="0"/>
        <item m="1" x="3"/>
        <item x="1"/>
        <item m="1"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numFmtId="168" showAll="0"/>
    <pivotField numFmtId="168" showAll="0"/>
    <pivotField showAll="0"/>
    <pivotField showAll="0"/>
    <pivotField showAll="0"/>
    <pivotField showAll="0"/>
    <pivotField showAll="0"/>
    <pivotField showAll="0"/>
    <pivotField showAll="0"/>
    <pivotField dataField="1" numFmtId="168" showAll="0"/>
    <pivotField showAll="0">
      <items count="8">
        <item x="0"/>
        <item m="1" x="6"/>
        <item m="1" x="5"/>
        <item x="3"/>
        <item x="1"/>
        <item x="4"/>
        <item x="2"/>
        <item t="default"/>
      </items>
    </pivotField>
    <pivotField numFmtId="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5">
        <item x="0"/>
        <item x="1"/>
        <item x="2"/>
        <item x="3"/>
        <item x="4"/>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6">
    <i>
      <x/>
    </i>
    <i>
      <x v="1"/>
    </i>
    <i>
      <x v="2"/>
    </i>
    <i>
      <x v="3"/>
    </i>
    <i>
      <x v="4"/>
    </i>
    <i t="grand">
      <x/>
    </i>
  </rowItems>
  <colItems count="1">
    <i/>
  </colItems>
  <pageFields count="1">
    <pageField fld="5" hier="-1"/>
  </pageFields>
  <dataFields count="1">
    <dataField name="Total des coûts :" fld="31" baseField="0" baseItem="690182600"/>
  </dataFields>
  <formats count="7">
    <format dxfId="557">
      <pivotArea type="all" dataOnly="0" outline="0" fieldPosition="0"/>
    </format>
    <format dxfId="556">
      <pivotArea outline="0" collapsedLevelsAreSubtotals="1" fieldPosition="0"/>
    </format>
    <format dxfId="555">
      <pivotArea field="0" type="button" dataOnly="0" labelOnly="1" outline="0" axis="axisRow" fieldPosition="0"/>
    </format>
    <format dxfId="554">
      <pivotArea dataOnly="0" labelOnly="1" outline="0" axis="axisValues" fieldPosition="0"/>
    </format>
    <format dxfId="553">
      <pivotArea dataOnly="0" labelOnly="1" fieldPosition="0">
        <references count="1">
          <reference field="0" count="0"/>
        </references>
      </pivotArea>
    </format>
    <format dxfId="552">
      <pivotArea dataOnly="0" labelOnly="1" grandRow="1" outline="0" fieldPosition="0"/>
    </format>
    <format dxfId="551">
      <pivotArea dataOnly="0" labelOnly="1" outline="0" axis="axisValues" fieldPosition="0"/>
    </format>
  </formats>
  <chartFormats count="6">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4"/>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eau croisé dynamique3" cacheId="1" applyNumberFormats="0" applyBorderFormats="0" applyFontFormats="0" applyPatternFormats="0" applyAlignmentFormats="0" applyWidthHeightFormats="1" dataCaption="Valeurs" updatedVersion="7" minRefreshableVersion="3" itemPrintTitles="1" createdVersion="4" indent="0" outline="1" outlineData="1" multipleFieldFilters="0" chartFormat="4">
  <location ref="B112:C116" firstHeaderRow="1" firstDataRow="1" firstDataCol="1" rowPageCount="1" colPageCount="1"/>
  <pivotFields count="54">
    <pivotField showAll="0"/>
    <pivotField showAll="0"/>
    <pivotField showAll="0"/>
    <pivotField showAll="0" defaultSubtotal="0"/>
    <pivotField showAll="0"/>
    <pivotField axis="axisPage" showAll="0" sortType="ascending">
      <items count="8">
        <item m="1" x="4"/>
        <item m="1" x="5"/>
        <item m="1" x="6"/>
        <item x="0"/>
        <item x="1"/>
        <item m="1" x="3"/>
        <item x="2"/>
        <item t="default"/>
      </items>
    </pivotField>
    <pivotField axis="axisRow" showAll="0" sortType="ascending" defaultSubtotal="0">
      <items count="7">
        <item x="0"/>
        <item x="1"/>
        <item m="1" x="6"/>
        <item m="1" x="5"/>
        <item m="1" x="4"/>
        <item m="1" x="3"/>
        <item x="2"/>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numFmtId="3" showAll="0"/>
    <pivotField showAll="0"/>
    <pivotField numFmtId="171" showAll="0" defaultSubtotal="0"/>
    <pivotField numFmtId="3" showAll="0" defaultSubtotal="0"/>
    <pivotField numFmtId="3" showAll="0" defaultSubtotal="0"/>
    <pivotField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6"/>
    </i>
    <i t="grand">
      <x/>
    </i>
  </rowItems>
  <colItems count="1">
    <i/>
  </colItems>
  <pageFields count="1">
    <pageField fld="5" hier="-1"/>
  </pageFields>
  <dataFields count="1">
    <dataField name="Montant d'aide totale" fld="46" baseField="4" baseItem="1"/>
  </dataFields>
  <formats count="74">
    <format dxfId="631">
      <pivotArea outline="0" collapsedLevelsAreSubtotals="1" fieldPosition="0"/>
    </format>
    <format dxfId="630">
      <pivotArea outline="0" collapsedLevelsAreSubtotals="1" fieldPosition="0">
        <references count="1">
          <reference field="5" count="0" selected="0"/>
        </references>
      </pivotArea>
    </format>
    <format dxfId="629">
      <pivotArea grandCol="1" outline="0" collapsedLevelsAreSubtotals="1" fieldPosition="0"/>
    </format>
    <format dxfId="628">
      <pivotArea type="all" dataOnly="0" outline="0" fieldPosition="0"/>
    </format>
    <format dxfId="627">
      <pivotArea outline="0" collapsedLevelsAreSubtotals="1" fieldPosition="0"/>
    </format>
    <format dxfId="626">
      <pivotArea dataOnly="0" labelOnly="1" fieldPosition="0">
        <references count="1">
          <reference field="5" count="0"/>
        </references>
      </pivotArea>
    </format>
    <format dxfId="625">
      <pivotArea dataOnly="0" labelOnly="1" grandRow="1" outline="0" fieldPosition="0"/>
    </format>
    <format dxfId="624">
      <pivotArea dataOnly="0" labelOnly="1" outline="0" fieldPosition="0">
        <references count="1">
          <reference field="4294967294" count="1">
            <x v="0"/>
          </reference>
        </references>
      </pivotArea>
    </format>
    <format dxfId="623">
      <pivotArea dataOnly="0" labelOnly="1" outline="0" fieldPosition="0">
        <references count="1">
          <reference field="4294967294" count="1">
            <x v="0"/>
          </reference>
        </references>
      </pivotArea>
    </format>
    <format dxfId="622">
      <pivotArea dataOnly="0" labelOnly="1" outline="0" fieldPosition="0">
        <references count="1">
          <reference field="4294967294" count="1">
            <x v="0"/>
          </reference>
        </references>
      </pivotArea>
    </format>
    <format dxfId="621">
      <pivotArea dataOnly="0" labelOnly="1" outline="0" fieldPosition="0">
        <references count="1">
          <reference field="4294967294" count="1">
            <x v="0"/>
          </reference>
        </references>
      </pivotArea>
    </format>
    <format dxfId="620">
      <pivotArea dataOnly="0" labelOnly="1" outline="0" fieldPosition="0">
        <references count="1">
          <reference field="4294967294" count="1">
            <x v="0"/>
          </reference>
        </references>
      </pivotArea>
    </format>
    <format dxfId="619">
      <pivotArea dataOnly="0" labelOnly="1" outline="0" fieldPosition="0">
        <references count="1">
          <reference field="4294967294" count="1">
            <x v="0"/>
          </reference>
        </references>
      </pivotArea>
    </format>
    <format dxfId="618">
      <pivotArea dataOnly="0" labelOnly="1" outline="0" fieldPosition="0">
        <references count="1">
          <reference field="4294967294" count="1">
            <x v="0"/>
          </reference>
        </references>
      </pivotArea>
    </format>
    <format dxfId="617">
      <pivotArea dataOnly="0" labelOnly="1" outline="0" fieldPosition="0">
        <references count="1">
          <reference field="4294967294" count="1">
            <x v="0"/>
          </reference>
        </references>
      </pivotArea>
    </format>
    <format dxfId="616">
      <pivotArea type="all" dataOnly="0" outline="0" fieldPosition="0"/>
    </format>
    <format dxfId="615">
      <pivotArea outline="0" collapsedLevelsAreSubtotals="1" fieldPosition="0"/>
    </format>
    <format dxfId="614">
      <pivotArea dataOnly="0" labelOnly="1" fieldPosition="0">
        <references count="1">
          <reference field="5" count="0"/>
        </references>
      </pivotArea>
    </format>
    <format dxfId="613">
      <pivotArea dataOnly="0" labelOnly="1" grandRow="1" outline="0" fieldPosition="0"/>
    </format>
    <format dxfId="612">
      <pivotArea dataOnly="0" labelOnly="1" outline="0" fieldPosition="0">
        <references count="1">
          <reference field="4294967294" count="1">
            <x v="0"/>
          </reference>
        </references>
      </pivotArea>
    </format>
    <format dxfId="611">
      <pivotArea type="all" dataOnly="0" outline="0" fieldPosition="0"/>
    </format>
    <format dxfId="610">
      <pivotArea outline="0" collapsedLevelsAreSubtotals="1" fieldPosition="0"/>
    </format>
    <format dxfId="609">
      <pivotArea dataOnly="0" labelOnly="1" fieldPosition="0">
        <references count="1">
          <reference field="5" count="0"/>
        </references>
      </pivotArea>
    </format>
    <format dxfId="608">
      <pivotArea dataOnly="0" labelOnly="1" grandRow="1" outline="0" fieldPosition="0"/>
    </format>
    <format dxfId="607">
      <pivotArea dataOnly="0" labelOnly="1" outline="0" fieldPosition="0">
        <references count="1">
          <reference field="4294967294" count="1">
            <x v="0"/>
          </reference>
        </references>
      </pivotArea>
    </format>
    <format dxfId="606">
      <pivotArea type="all" dataOnly="0" outline="0" fieldPosition="0"/>
    </format>
    <format dxfId="605">
      <pivotArea outline="0" collapsedLevelsAreSubtotals="1" fieldPosition="0"/>
    </format>
    <format dxfId="604">
      <pivotArea dataOnly="0" labelOnly="1" fieldPosition="0">
        <references count="1">
          <reference field="5" count="0"/>
        </references>
      </pivotArea>
    </format>
    <format dxfId="603">
      <pivotArea dataOnly="0" labelOnly="1" grandRow="1" outline="0" fieldPosition="0"/>
    </format>
    <format dxfId="602">
      <pivotArea dataOnly="0" labelOnly="1" outline="0" fieldPosition="0">
        <references count="1">
          <reference field="4294967294" count="1">
            <x v="0"/>
          </reference>
        </references>
      </pivotArea>
    </format>
    <format dxfId="601">
      <pivotArea type="all" dataOnly="0" outline="0" fieldPosition="0"/>
    </format>
    <format dxfId="600">
      <pivotArea outline="0" collapsedLevelsAreSubtotals="1" fieldPosition="0"/>
    </format>
    <format dxfId="599">
      <pivotArea dataOnly="0" labelOnly="1" fieldPosition="0">
        <references count="1">
          <reference field="5" count="0"/>
        </references>
      </pivotArea>
    </format>
    <format dxfId="598">
      <pivotArea dataOnly="0" labelOnly="1" grandRow="1" outline="0" fieldPosition="0"/>
    </format>
    <format dxfId="597">
      <pivotArea dataOnly="0" labelOnly="1" outline="0" fieldPosition="0">
        <references count="1">
          <reference field="4294967294" count="1">
            <x v="0"/>
          </reference>
        </references>
      </pivotArea>
    </format>
    <format dxfId="596">
      <pivotArea type="all" dataOnly="0" outline="0" fieldPosition="0"/>
    </format>
    <format dxfId="595">
      <pivotArea outline="0" collapsedLevelsAreSubtotals="1" fieldPosition="0"/>
    </format>
    <format dxfId="594">
      <pivotArea dataOnly="0" labelOnly="1" fieldPosition="0">
        <references count="1">
          <reference field="5" count="0"/>
        </references>
      </pivotArea>
    </format>
    <format dxfId="593">
      <pivotArea dataOnly="0" labelOnly="1" grandRow="1" outline="0" fieldPosition="0"/>
    </format>
    <format dxfId="592">
      <pivotArea dataOnly="0" labelOnly="1" outline="0" fieldPosition="0">
        <references count="1">
          <reference field="4294967294" count="1">
            <x v="0"/>
          </reference>
        </references>
      </pivotArea>
    </format>
    <format dxfId="591">
      <pivotArea type="all" dataOnly="0" outline="0" fieldPosition="0"/>
    </format>
    <format dxfId="590">
      <pivotArea outline="0" collapsedLevelsAreSubtotals="1" fieldPosition="0"/>
    </format>
    <format dxfId="589">
      <pivotArea dataOnly="0" labelOnly="1" fieldPosition="0">
        <references count="1">
          <reference field="5" count="0"/>
        </references>
      </pivotArea>
    </format>
    <format dxfId="588">
      <pivotArea dataOnly="0" labelOnly="1" grandRow="1" outline="0" fieldPosition="0"/>
    </format>
    <format dxfId="587">
      <pivotArea dataOnly="0" labelOnly="1" outline="0" fieldPosition="0">
        <references count="1">
          <reference field="4294967294" count="1">
            <x v="0"/>
          </reference>
        </references>
      </pivotArea>
    </format>
    <format dxfId="586">
      <pivotArea type="all" dataOnly="0" outline="0" fieldPosition="0"/>
    </format>
    <format dxfId="585">
      <pivotArea outline="0" collapsedLevelsAreSubtotals="1" fieldPosition="0"/>
    </format>
    <format dxfId="584">
      <pivotArea field="5" type="button" dataOnly="0" labelOnly="1" outline="0" axis="axisPage" fieldPosition="0"/>
    </format>
    <format dxfId="583">
      <pivotArea dataOnly="0" labelOnly="1" fieldPosition="0">
        <references count="1">
          <reference field="5" count="0"/>
        </references>
      </pivotArea>
    </format>
    <format dxfId="582">
      <pivotArea dataOnly="0" labelOnly="1" grandRow="1" outline="0" fieldPosition="0"/>
    </format>
    <format dxfId="581">
      <pivotArea dataOnly="0" labelOnly="1" outline="0" fieldPosition="0">
        <references count="1">
          <reference field="4294967294" count="1">
            <x v="0"/>
          </reference>
        </references>
      </pivotArea>
    </format>
    <format dxfId="580">
      <pivotArea type="all" dataOnly="0" outline="0" fieldPosition="0"/>
    </format>
    <format dxfId="579">
      <pivotArea outline="0" collapsedLevelsAreSubtotals="1" fieldPosition="0"/>
    </format>
    <format dxfId="578">
      <pivotArea field="5" type="button" dataOnly="0" labelOnly="1" outline="0" axis="axisPage" fieldPosition="0"/>
    </format>
    <format dxfId="577">
      <pivotArea dataOnly="0" labelOnly="1" fieldPosition="0">
        <references count="1">
          <reference field="5" count="0"/>
        </references>
      </pivotArea>
    </format>
    <format dxfId="576">
      <pivotArea dataOnly="0" labelOnly="1" grandRow="1" outline="0" fieldPosition="0"/>
    </format>
    <format dxfId="575">
      <pivotArea dataOnly="0" labelOnly="1" outline="0" fieldPosition="0">
        <references count="1">
          <reference field="4294967294" count="1">
            <x v="0"/>
          </reference>
        </references>
      </pivotArea>
    </format>
    <format dxfId="574">
      <pivotArea type="all" dataOnly="0" outline="0" fieldPosition="0"/>
    </format>
    <format dxfId="573">
      <pivotArea outline="0" collapsedLevelsAreSubtotals="1" fieldPosition="0"/>
    </format>
    <format dxfId="572">
      <pivotArea type="origin" dataOnly="0" labelOnly="1" outline="0" fieldPosition="0"/>
    </format>
    <format dxfId="571">
      <pivotArea field="6" type="button" dataOnly="0" labelOnly="1" outline="0" axis="axisRow" fieldPosition="0"/>
    </format>
    <format dxfId="570">
      <pivotArea type="topRight" dataOnly="0" labelOnly="1" outline="0" fieldPosition="0"/>
    </format>
    <format dxfId="569">
      <pivotArea field="5" type="button" dataOnly="0" labelOnly="1" outline="0" axis="axisPage" fieldPosition="0"/>
    </format>
    <format dxfId="568">
      <pivotArea dataOnly="0" labelOnly="1" fieldPosition="0">
        <references count="1">
          <reference field="5" count="0"/>
        </references>
      </pivotArea>
    </format>
    <format dxfId="567">
      <pivotArea dataOnly="0" labelOnly="1" grandRow="1" outline="0" fieldPosition="0"/>
    </format>
    <format dxfId="566">
      <pivotArea dataOnly="0" labelOnly="1" fieldPosition="0">
        <references count="1">
          <reference field="6" count="0"/>
        </references>
      </pivotArea>
    </format>
    <format dxfId="565">
      <pivotArea dataOnly="0" labelOnly="1" grandCol="1" outline="0" fieldPosition="0"/>
    </format>
    <format dxfId="564">
      <pivotArea type="all" dataOnly="0" outline="0" fieldPosition="0"/>
    </format>
    <format dxfId="563">
      <pivotArea outline="0" collapsedLevelsAreSubtotals="1" fieldPosition="0"/>
    </format>
    <format dxfId="562">
      <pivotArea field="6" type="button" dataOnly="0" labelOnly="1" outline="0" axis="axisRow" fieldPosition="0"/>
    </format>
    <format dxfId="561">
      <pivotArea dataOnly="0" labelOnly="1" outline="0" axis="axisValues" fieldPosition="0"/>
    </format>
    <format dxfId="560">
      <pivotArea dataOnly="0" labelOnly="1" fieldPosition="0">
        <references count="1">
          <reference field="6" count="0"/>
        </references>
      </pivotArea>
    </format>
    <format dxfId="559">
      <pivotArea dataOnly="0" labelOnly="1" grandRow="1" outline="0" fieldPosition="0"/>
    </format>
    <format dxfId="558">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5000000}" name="Tableau croisé dynamique6" cacheId="3" applyNumberFormats="0" applyBorderFormats="0" applyFontFormats="0" applyPatternFormats="0" applyAlignmentFormats="0" applyWidthHeightFormats="1" dataCaption="Valeurs" updatedVersion="7" minRefreshableVersion="3" useAutoFormatting="1" itemPrintTitles="1" createdVersion="6" indent="0" outline="1" outlineData="1" multipleFieldFilters="0" chartFormat="1">
  <location ref="B79:I83" firstHeaderRow="0" firstDataRow="1" firstDataCol="1" rowPageCount="1" colPageCount="1"/>
  <pivotFields count="62">
    <pivotField showAll="0"/>
    <pivotField showAll="0"/>
    <pivotField showAll="0"/>
    <pivotField showAll="0" defaultSubtotal="0"/>
    <pivotField showAll="0"/>
    <pivotField axis="axisPage" showAll="0">
      <items count="8">
        <item m="1" x="4"/>
        <item m="1" x="5"/>
        <item m="1" x="6"/>
        <item x="0"/>
        <item m="1" x="3"/>
        <item x="1"/>
        <item m="1" x="2"/>
        <item t="default"/>
      </items>
    </pivotField>
    <pivotField axis="axisRow" showAll="0" sortType="ascending">
      <items count="5">
        <item x="0"/>
        <item x="1"/>
        <item m="1" x="3"/>
        <item x="2"/>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8" showAll="0"/>
    <pivotField dataField="1" showAll="0"/>
    <pivotField numFmtId="168" showAll="0"/>
    <pivotField dataField="1" numFmtId="168" showAll="0"/>
    <pivotField dataField="1" showAll="0"/>
    <pivotField showAll="0"/>
    <pivotField showAll="0"/>
    <pivotField dataField="1" showAll="0"/>
    <pivotField dataField="1" showAll="0"/>
    <pivotField dataField="1" showAll="0"/>
    <pivotField showAll="0"/>
    <pivotField numFmtId="168" showAll="0"/>
    <pivotField showAll="0">
      <items count="8">
        <item x="0"/>
        <item m="1" x="6"/>
        <item m="1" x="5"/>
        <item x="3"/>
        <item x="1"/>
        <item x="4"/>
        <item x="2"/>
        <item t="default"/>
      </items>
    </pivotField>
    <pivotField numFmtId="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5">
        <item x="0"/>
        <item x="1"/>
        <item x="2"/>
        <item x="3"/>
        <item x="4"/>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3"/>
    </i>
    <i t="grand">
      <x/>
    </i>
  </rowItems>
  <colFields count="1">
    <field x="-2"/>
  </colFields>
  <colItems count="7">
    <i>
      <x/>
    </i>
    <i i="1">
      <x v="1"/>
    </i>
    <i i="2">
      <x v="2"/>
    </i>
    <i i="3">
      <x v="3"/>
    </i>
    <i i="4">
      <x v="4"/>
    </i>
    <i i="5">
      <x v="5"/>
    </i>
    <i i="6">
      <x v="6"/>
    </i>
  </colItems>
  <pageFields count="1">
    <pageField fld="5" hier="-1"/>
  </pageFields>
  <dataFields count="7">
    <dataField name="Salaires chargés non environnés :" fld="20" baseField="6" baseItem="0"/>
    <dataField name="Dont salaires personnels permanents :" fld="21" baseField="6" baseItem="0"/>
    <dataField name="Frais connexes (forfaitaires) :" fld="23" baseField="6" baseItem="0"/>
    <dataField name="Coûts de sous-traitance :" fld="24" baseField="6" baseItem="0"/>
    <dataField name="Coûts de refacturation interne :" fld="27" baseField="6" baseItem="0"/>
    <dataField name="Frais de mission :" fld="28" baseField="6" baseItem="0"/>
    <dataField name="Autres coûts :" fld="29" baseField="6" baseItem="0"/>
  </dataFields>
  <formats count="6">
    <format dxfId="637">
      <pivotArea type="all" dataOnly="0" outline="0" fieldPosition="0"/>
    </format>
    <format dxfId="636">
      <pivotArea outline="0" collapsedLevelsAreSubtotals="1" fieldPosition="0"/>
    </format>
    <format dxfId="635">
      <pivotArea field="6" type="button" dataOnly="0" labelOnly="1" outline="0" axis="axisRow" fieldPosition="0"/>
    </format>
    <format dxfId="634">
      <pivotArea dataOnly="0" labelOnly="1" fieldPosition="0">
        <references count="1">
          <reference field="6" count="0"/>
        </references>
      </pivotArea>
    </format>
    <format dxfId="633">
      <pivotArea dataOnly="0" labelOnly="1" grandRow="1" outline="0" fieldPosition="0"/>
    </format>
    <format dxfId="632">
      <pivotArea dataOnly="0" labelOnly="1" outline="0" fieldPosition="0">
        <references count="1">
          <reference field="4294967294" count="7">
            <x v="0"/>
            <x v="1"/>
            <x v="2"/>
            <x v="3"/>
            <x v="4"/>
            <x v="5"/>
            <x v="6"/>
          </reference>
        </references>
      </pivotArea>
    </format>
  </formats>
  <chartFormats count="7">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 chart="0" format="18" series="1">
      <pivotArea type="data" outline="0" fieldPosition="0">
        <references count="1">
          <reference field="4294967294" count="1" selected="0">
            <x v="2"/>
          </reference>
        </references>
      </pivotArea>
    </chartFormat>
    <chartFormat chart="0" format="19" series="1">
      <pivotArea type="data" outline="0" fieldPosition="0">
        <references count="1">
          <reference field="4294967294" count="1" selected="0">
            <x v="3"/>
          </reference>
        </references>
      </pivotArea>
    </chartFormat>
    <chartFormat chart="0" format="21" series="1">
      <pivotArea type="data" outline="0" fieldPosition="0">
        <references count="1">
          <reference field="4294967294" count="1" selected="0">
            <x v="4"/>
          </reference>
        </references>
      </pivotArea>
    </chartFormat>
    <chartFormat chart="0" format="22" series="1">
      <pivotArea type="data" outline="0" fieldPosition="0">
        <references count="1">
          <reference field="4294967294" count="1" selected="0">
            <x v="5"/>
          </reference>
        </references>
      </pivotArea>
    </chartFormat>
    <chartFormat chart="0" format="23"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eau croisé dynamique2" cacheId="3" dataOnRows="1" applyNumberFormats="0" applyBorderFormats="0" applyFontFormats="0" applyPatternFormats="0" applyAlignmentFormats="0" applyWidthHeightFormats="1" dataCaption="Valeurs" updatedVersion="7" minRefreshableVersion="3" showDrill="0" itemPrintTitles="1" createdVersion="4" indent="0" outline="1" outlineData="1" multipleFieldFilters="0">
  <location ref="B34:D40" firstHeaderRow="1" firstDataRow="2" firstDataCol="1"/>
  <pivotFields count="62">
    <pivotField showAll="0"/>
    <pivotField showAll="0"/>
    <pivotField showAll="0"/>
    <pivotField showAll="0" defaultSubtotal="0"/>
    <pivotField showAll="0"/>
    <pivotField axis="axisCol" showAll="0" sortType="ascending">
      <items count="8">
        <item m="1" x="4"/>
        <item m="1" x="5"/>
        <item m="1" x="6"/>
        <item x="0"/>
        <item m="1" x="2"/>
        <item m="1" x="3"/>
        <item x="1"/>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showAll="0" defaultSubtotal="0"/>
    <pivotField showAll="0"/>
    <pivotField dataField="1" numFmtId="3" showAll="0"/>
    <pivotField axis="axisRow" showAll="0" sortType="ascending">
      <items count="8">
        <item x="0"/>
        <item m="1" x="6"/>
        <item m="1" x="5"/>
        <item x="3"/>
        <item x="2"/>
        <item x="1"/>
        <item h="1" x="4"/>
        <item t="default"/>
      </items>
    </pivotField>
    <pivotField showAll="0" defaultSubtotal="0"/>
    <pivotField showAll="0" defaultSubtotal="0"/>
    <pivotField showAll="0" defaultSubtotal="0"/>
    <pivotField numFmtId="169"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5">
        <item x="0"/>
        <item x="1"/>
        <item x="2"/>
        <item x="3"/>
        <item x="4"/>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2"/>
  </rowFields>
  <rowItems count="5">
    <i>
      <x/>
    </i>
    <i>
      <x v="3"/>
    </i>
    <i>
      <x v="4"/>
    </i>
    <i>
      <x v="5"/>
    </i>
    <i t="grand">
      <x/>
    </i>
  </rowItems>
  <colFields count="1">
    <field x="5"/>
  </colFields>
  <colItems count="2">
    <i>
      <x v="3"/>
    </i>
    <i t="grand">
      <x/>
    </i>
  </colItems>
  <dataFields count="1">
    <dataField name="Total des coûts :" fld="31" baseField="4" baseItem="0" numFmtId="169"/>
  </dataFields>
  <formats count="112">
    <format dxfId="749">
      <pivotArea collapsedLevelsAreSubtotals="1" fieldPosition="0">
        <references count="1">
          <reference field="4294967294" count="1">
            <x v="0"/>
          </reference>
        </references>
      </pivotArea>
    </format>
    <format dxfId="748">
      <pivotArea outline="0" collapsedLevelsAreSubtotals="1" fieldPosition="0"/>
    </format>
    <format dxfId="747">
      <pivotArea dataOnly="0" labelOnly="1" outline="0" fieldPosition="0">
        <references count="1">
          <reference field="4294967294" count="1">
            <x v="0"/>
          </reference>
        </references>
      </pivotArea>
    </format>
    <format dxfId="746">
      <pivotArea outline="0" collapsedLevelsAreSubtotals="1" fieldPosition="0">
        <references count="1">
          <reference field="5" count="0" selected="0"/>
        </references>
      </pivotArea>
    </format>
    <format dxfId="745">
      <pivotArea grandCol="1" outline="0" collapsedLevelsAreSubtotals="1" fieldPosition="0"/>
    </format>
    <format dxfId="744">
      <pivotArea type="all" dataOnly="0" outline="0" fieldPosition="0"/>
    </format>
    <format dxfId="743">
      <pivotArea outline="0" collapsedLevelsAreSubtotals="1" fieldPosition="0"/>
    </format>
    <format dxfId="742">
      <pivotArea type="origin" dataOnly="0" labelOnly="1" outline="0" fieldPosition="0"/>
    </format>
    <format dxfId="741">
      <pivotArea type="topRight" dataOnly="0" labelOnly="1" outline="0" fieldPosition="0"/>
    </format>
    <format dxfId="740">
      <pivotArea dataOnly="0" labelOnly="1" fieldPosition="0">
        <references count="1">
          <reference field="32" count="0"/>
        </references>
      </pivotArea>
    </format>
    <format dxfId="739">
      <pivotArea dataOnly="0" labelOnly="1" grandRow="1" outline="0" fieldPosition="0"/>
    </format>
    <format dxfId="738">
      <pivotArea dataOnly="0" labelOnly="1" fieldPosition="0">
        <references count="1">
          <reference field="5" count="0"/>
        </references>
      </pivotArea>
    </format>
    <format dxfId="737">
      <pivotArea dataOnly="0" labelOnly="1" grandCol="1" outline="0" fieldPosition="0"/>
    </format>
    <format dxfId="736">
      <pivotArea type="all" dataOnly="0" outline="0" fieldPosition="0"/>
    </format>
    <format dxfId="735">
      <pivotArea outline="0" collapsedLevelsAreSubtotals="1" fieldPosition="0"/>
    </format>
    <format dxfId="734">
      <pivotArea type="origin" dataOnly="0" labelOnly="1" outline="0" fieldPosition="0"/>
    </format>
    <format dxfId="733">
      <pivotArea type="topRight" dataOnly="0" labelOnly="1" outline="0" fieldPosition="0"/>
    </format>
    <format dxfId="732">
      <pivotArea dataOnly="0" labelOnly="1" fieldPosition="0">
        <references count="1">
          <reference field="32" count="0"/>
        </references>
      </pivotArea>
    </format>
    <format dxfId="731">
      <pivotArea dataOnly="0" labelOnly="1" grandRow="1" outline="0" fieldPosition="0"/>
    </format>
    <format dxfId="730">
      <pivotArea dataOnly="0" labelOnly="1" fieldPosition="0">
        <references count="1">
          <reference field="5" count="0"/>
        </references>
      </pivotArea>
    </format>
    <format dxfId="729">
      <pivotArea dataOnly="0" labelOnly="1" grandCol="1" outline="0" fieldPosition="0"/>
    </format>
    <format dxfId="728">
      <pivotArea type="all" dataOnly="0" outline="0" fieldPosition="0"/>
    </format>
    <format dxfId="727">
      <pivotArea outline="0" collapsedLevelsAreSubtotals="1" fieldPosition="0"/>
    </format>
    <format dxfId="726">
      <pivotArea type="origin" dataOnly="0" labelOnly="1" outline="0" fieldPosition="0"/>
    </format>
    <format dxfId="725">
      <pivotArea type="topRight" dataOnly="0" labelOnly="1" outline="0" fieldPosition="0"/>
    </format>
    <format dxfId="724">
      <pivotArea dataOnly="0" labelOnly="1" fieldPosition="0">
        <references count="1">
          <reference field="32" count="0"/>
        </references>
      </pivotArea>
    </format>
    <format dxfId="723">
      <pivotArea dataOnly="0" labelOnly="1" grandRow="1" outline="0" fieldPosition="0"/>
    </format>
    <format dxfId="722">
      <pivotArea dataOnly="0" labelOnly="1" fieldPosition="0">
        <references count="1">
          <reference field="5" count="0"/>
        </references>
      </pivotArea>
    </format>
    <format dxfId="721">
      <pivotArea dataOnly="0" labelOnly="1" grandCol="1" outline="0" fieldPosition="0"/>
    </format>
    <format dxfId="720">
      <pivotArea type="all" dataOnly="0" outline="0" fieldPosition="0"/>
    </format>
    <format dxfId="719">
      <pivotArea outline="0" collapsedLevelsAreSubtotals="1" fieldPosition="0"/>
    </format>
    <format dxfId="718">
      <pivotArea type="origin" dataOnly="0" labelOnly="1" outline="0" fieldPosition="0"/>
    </format>
    <format dxfId="717">
      <pivotArea type="topRight" dataOnly="0" labelOnly="1" outline="0" fieldPosition="0"/>
    </format>
    <format dxfId="716">
      <pivotArea dataOnly="0" labelOnly="1" fieldPosition="0">
        <references count="1">
          <reference field="32" count="0"/>
        </references>
      </pivotArea>
    </format>
    <format dxfId="715">
      <pivotArea dataOnly="0" labelOnly="1" grandRow="1" outline="0" fieldPosition="0"/>
    </format>
    <format dxfId="714">
      <pivotArea dataOnly="0" labelOnly="1" fieldPosition="0">
        <references count="1">
          <reference field="5" count="0"/>
        </references>
      </pivotArea>
    </format>
    <format dxfId="713">
      <pivotArea dataOnly="0" labelOnly="1" grandCol="1" outline="0" fieldPosition="0"/>
    </format>
    <format dxfId="712">
      <pivotArea type="all" dataOnly="0" outline="0" fieldPosition="0"/>
    </format>
    <format dxfId="711">
      <pivotArea outline="0" collapsedLevelsAreSubtotals="1" fieldPosition="0"/>
    </format>
    <format dxfId="710">
      <pivotArea type="origin" dataOnly="0" labelOnly="1" outline="0" fieldPosition="0"/>
    </format>
    <format dxfId="709">
      <pivotArea field="5" type="button" dataOnly="0" labelOnly="1" outline="0" axis="axisCol" fieldPosition="0"/>
    </format>
    <format dxfId="708">
      <pivotArea type="topRight" dataOnly="0" labelOnly="1" outline="0" fieldPosition="0"/>
    </format>
    <format dxfId="707">
      <pivotArea field="32" type="button" dataOnly="0" labelOnly="1" outline="0" axis="axisRow" fieldPosition="0"/>
    </format>
    <format dxfId="706">
      <pivotArea dataOnly="0" labelOnly="1" fieldPosition="0">
        <references count="1">
          <reference field="32" count="1">
            <x v="5"/>
          </reference>
        </references>
      </pivotArea>
    </format>
    <format dxfId="705">
      <pivotArea dataOnly="0" labelOnly="1" grandRow="1" outline="0" fieldPosition="0"/>
    </format>
    <format dxfId="704">
      <pivotArea dataOnly="0" labelOnly="1" fieldPosition="0">
        <references count="1">
          <reference field="5" count="0"/>
        </references>
      </pivotArea>
    </format>
    <format dxfId="703">
      <pivotArea dataOnly="0" labelOnly="1" grandCol="1" outline="0" fieldPosition="0"/>
    </format>
    <format dxfId="702">
      <pivotArea type="all" dataOnly="0" outline="0" fieldPosition="0"/>
    </format>
    <format dxfId="701">
      <pivotArea outline="0" collapsedLevelsAreSubtotals="1" fieldPosition="0"/>
    </format>
    <format dxfId="700">
      <pivotArea type="origin" dataOnly="0" labelOnly="1" outline="0" fieldPosition="0"/>
    </format>
    <format dxfId="699">
      <pivotArea field="5" type="button" dataOnly="0" labelOnly="1" outline="0" axis="axisCol" fieldPosition="0"/>
    </format>
    <format dxfId="698">
      <pivotArea type="topRight" dataOnly="0" labelOnly="1" outline="0" fieldPosition="0"/>
    </format>
    <format dxfId="697">
      <pivotArea field="32" type="button" dataOnly="0" labelOnly="1" outline="0" axis="axisRow" fieldPosition="0"/>
    </format>
    <format dxfId="696">
      <pivotArea dataOnly="0" labelOnly="1" fieldPosition="0">
        <references count="1">
          <reference field="32" count="1">
            <x v="5"/>
          </reference>
        </references>
      </pivotArea>
    </format>
    <format dxfId="695">
      <pivotArea dataOnly="0" labelOnly="1" grandRow="1" outline="0" fieldPosition="0"/>
    </format>
    <format dxfId="694">
      <pivotArea dataOnly="0" labelOnly="1" fieldPosition="0">
        <references count="1">
          <reference field="5" count="0"/>
        </references>
      </pivotArea>
    </format>
    <format dxfId="693">
      <pivotArea dataOnly="0" labelOnly="1" grandCol="1" outline="0" fieldPosition="0"/>
    </format>
    <format dxfId="692">
      <pivotArea type="all" dataOnly="0" outline="0" fieldPosition="0"/>
    </format>
    <format dxfId="691">
      <pivotArea outline="0" collapsedLevelsAreSubtotals="1" fieldPosition="0"/>
    </format>
    <format dxfId="690">
      <pivotArea type="origin" dataOnly="0" labelOnly="1" outline="0" fieldPosition="0"/>
    </format>
    <format dxfId="689">
      <pivotArea field="5" type="button" dataOnly="0" labelOnly="1" outline="0" axis="axisCol" fieldPosition="0"/>
    </format>
    <format dxfId="688">
      <pivotArea type="topRight" dataOnly="0" labelOnly="1" outline="0" fieldPosition="0"/>
    </format>
    <format dxfId="687">
      <pivotArea field="32" type="button" dataOnly="0" labelOnly="1" outline="0" axis="axisRow" fieldPosition="0"/>
    </format>
    <format dxfId="686">
      <pivotArea dataOnly="0" labelOnly="1" fieldPosition="0">
        <references count="1">
          <reference field="32" count="2">
            <x v="0"/>
            <x v="5"/>
          </reference>
        </references>
      </pivotArea>
    </format>
    <format dxfId="685">
      <pivotArea dataOnly="0" labelOnly="1" grandRow="1" outline="0" fieldPosition="0"/>
    </format>
    <format dxfId="684">
      <pivotArea dataOnly="0" labelOnly="1" fieldPosition="0">
        <references count="1">
          <reference field="5" count="0"/>
        </references>
      </pivotArea>
    </format>
    <format dxfId="683">
      <pivotArea dataOnly="0" labelOnly="1" grandCol="1" outline="0" fieldPosition="0"/>
    </format>
    <format dxfId="682">
      <pivotArea field="32" type="button" dataOnly="0" labelOnly="1" outline="0" axis="axisRow" fieldPosition="0"/>
    </format>
    <format dxfId="681">
      <pivotArea dataOnly="0" labelOnly="1" fieldPosition="0">
        <references count="1">
          <reference field="5" count="0"/>
        </references>
      </pivotArea>
    </format>
    <format dxfId="680">
      <pivotArea dataOnly="0" labelOnly="1" grandCol="1" outline="0" fieldPosition="0"/>
    </format>
    <format dxfId="679">
      <pivotArea outline="0" collapsedLevelsAreSubtotals="1" fieldPosition="0"/>
    </format>
    <format dxfId="678">
      <pivotArea field="5" type="button" dataOnly="0" labelOnly="1" outline="0" axis="axisCol" fieldPosition="0"/>
    </format>
    <format dxfId="677">
      <pivotArea type="topRight" dataOnly="0" labelOnly="1" outline="0" fieldPosition="0"/>
    </format>
    <format dxfId="676">
      <pivotArea dataOnly="0" labelOnly="1" fieldPosition="0">
        <references count="1">
          <reference field="5" count="1">
            <x v="0"/>
          </reference>
        </references>
      </pivotArea>
    </format>
    <format dxfId="675">
      <pivotArea dataOnly="0" labelOnly="1" grandCol="1" outline="0" fieldPosition="0"/>
    </format>
    <format dxfId="674">
      <pivotArea outline="0" collapsedLevelsAreSubtotals="1" fieldPosition="0"/>
    </format>
    <format dxfId="673">
      <pivotArea field="5" type="button" dataOnly="0" labelOnly="1" outline="0" axis="axisCol" fieldPosition="0"/>
    </format>
    <format dxfId="672">
      <pivotArea type="topRight" dataOnly="0" labelOnly="1" outline="0" fieldPosition="0"/>
    </format>
    <format dxfId="671">
      <pivotArea dataOnly="0" labelOnly="1" fieldPosition="0">
        <references count="1">
          <reference field="5" count="1">
            <x v="0"/>
          </reference>
        </references>
      </pivotArea>
    </format>
    <format dxfId="670">
      <pivotArea dataOnly="0" labelOnly="1" grandCol="1" outline="0" fieldPosition="0"/>
    </format>
    <format dxfId="669">
      <pivotArea outline="0" collapsedLevelsAreSubtotals="1" fieldPosition="0"/>
    </format>
    <format dxfId="668">
      <pivotArea field="5" type="button" dataOnly="0" labelOnly="1" outline="0" axis="axisCol" fieldPosition="0"/>
    </format>
    <format dxfId="667">
      <pivotArea type="topRight" dataOnly="0" labelOnly="1" outline="0" fieldPosition="0"/>
    </format>
    <format dxfId="666">
      <pivotArea dataOnly="0" labelOnly="1" fieldPosition="0">
        <references count="1">
          <reference field="5" count="0"/>
        </references>
      </pivotArea>
    </format>
    <format dxfId="665">
      <pivotArea dataOnly="0" labelOnly="1" grandCol="1" outline="0" fieldPosition="0"/>
    </format>
    <format dxfId="664">
      <pivotArea outline="0" collapsedLevelsAreSubtotals="1" fieldPosition="0"/>
    </format>
    <format dxfId="663">
      <pivotArea field="5" type="button" dataOnly="0" labelOnly="1" outline="0" axis="axisCol" fieldPosition="0"/>
    </format>
    <format dxfId="662">
      <pivotArea type="topRight" dataOnly="0" labelOnly="1" outline="0" fieldPosition="0"/>
    </format>
    <format dxfId="661">
      <pivotArea dataOnly="0" labelOnly="1" fieldPosition="0">
        <references count="1">
          <reference field="5" count="0"/>
        </references>
      </pivotArea>
    </format>
    <format dxfId="660">
      <pivotArea dataOnly="0" labelOnly="1" grandCol="1" outline="0" fieldPosition="0"/>
    </format>
    <format dxfId="659">
      <pivotArea type="all" dataOnly="0" outline="0" fieldPosition="0"/>
    </format>
    <format dxfId="658">
      <pivotArea outline="0" collapsedLevelsAreSubtotals="1" fieldPosition="0"/>
    </format>
    <format dxfId="657">
      <pivotArea type="origin" dataOnly="0" labelOnly="1" outline="0" fieldPosition="0"/>
    </format>
    <format dxfId="656">
      <pivotArea field="5" type="button" dataOnly="0" labelOnly="1" outline="0" axis="axisCol" fieldPosition="0"/>
    </format>
    <format dxfId="655">
      <pivotArea type="topRight" dataOnly="0" labelOnly="1" outline="0" fieldPosition="0"/>
    </format>
    <format dxfId="654">
      <pivotArea field="32" type="button" dataOnly="0" labelOnly="1" outline="0" axis="axisRow" fieldPosition="0"/>
    </format>
    <format dxfId="653">
      <pivotArea dataOnly="0" labelOnly="1" fieldPosition="0">
        <references count="1">
          <reference field="32" count="0"/>
        </references>
      </pivotArea>
    </format>
    <format dxfId="652">
      <pivotArea dataOnly="0" labelOnly="1" grandRow="1" outline="0" fieldPosition="0"/>
    </format>
    <format dxfId="651">
      <pivotArea dataOnly="0" labelOnly="1" fieldPosition="0">
        <references count="1">
          <reference field="5" count="1">
            <x v="3"/>
          </reference>
        </references>
      </pivotArea>
    </format>
    <format dxfId="650">
      <pivotArea dataOnly="0" labelOnly="1" grandCol="1" outline="0" fieldPosition="0"/>
    </format>
    <format dxfId="649">
      <pivotArea outline="0" fieldPosition="0">
        <references count="1">
          <reference field="4294967294" count="1">
            <x v="0"/>
          </reference>
        </references>
      </pivotArea>
    </format>
    <format dxfId="648">
      <pivotArea outline="0" fieldPosition="0">
        <references count="1">
          <reference field="4294967294" count="1">
            <x v="0"/>
          </reference>
        </references>
      </pivotArea>
    </format>
    <format dxfId="647">
      <pivotArea type="all" dataOnly="0" outline="0" fieldPosition="0"/>
    </format>
    <format dxfId="646">
      <pivotArea outline="0" collapsedLevelsAreSubtotals="1" fieldPosition="0"/>
    </format>
    <format dxfId="645">
      <pivotArea type="origin" dataOnly="0" labelOnly="1" outline="0" fieldPosition="0"/>
    </format>
    <format dxfId="644">
      <pivotArea field="5" type="button" dataOnly="0" labelOnly="1" outline="0" axis="axisCol" fieldPosition="0"/>
    </format>
    <format dxfId="643">
      <pivotArea type="topRight" dataOnly="0" labelOnly="1" outline="0" fieldPosition="0"/>
    </format>
    <format dxfId="642">
      <pivotArea field="32" type="button" dataOnly="0" labelOnly="1" outline="0" axis="axisRow" fieldPosition="0"/>
    </format>
    <format dxfId="641">
      <pivotArea dataOnly="0" labelOnly="1" fieldPosition="0">
        <references count="1">
          <reference field="32" count="0"/>
        </references>
      </pivotArea>
    </format>
    <format dxfId="640">
      <pivotArea dataOnly="0" labelOnly="1" grandRow="1" outline="0" fieldPosition="0"/>
    </format>
    <format dxfId="639">
      <pivotArea dataOnly="0" labelOnly="1" fieldPosition="0">
        <references count="1">
          <reference field="5" count="2">
            <x v="3"/>
            <x v="4"/>
          </reference>
        </references>
      </pivotArea>
    </format>
    <format dxfId="6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eau croisé dynamique1" cacheId="2" dataOnRows="1" applyNumberFormats="0" applyBorderFormats="0" applyFontFormats="0" applyPatternFormats="0" applyAlignmentFormats="0" applyWidthHeightFormats="1" dataCaption="Valeurs" updatedVersion="7" minRefreshableVersion="3" itemPrintTitles="1" createdVersion="4" indent="0" outline="1" outlineData="1" multipleFieldFilters="0" chartFormat="1">
  <location ref="B5:E15" firstHeaderRow="1" firstDataRow="2" firstDataCol="1"/>
  <pivotFields count="54">
    <pivotField showAll="0"/>
    <pivotField showAll="0"/>
    <pivotField showAll="0"/>
    <pivotField showAll="0" defaultSubtotal="0"/>
    <pivotField showAll="0"/>
    <pivotField axis="axisCol" showAll="0" sortType="ascending">
      <items count="4">
        <item x="0"/>
        <item m="1" x="2"/>
        <item x="1"/>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dataField="1" numFmtId="3" showAll="0"/>
    <pivotField dataField="1" showAll="0"/>
    <pivotField numFmtId="3" showAll="0"/>
    <pivotField dataField="1" numFmtId="3" showAll="0" defaultSubtotal="0"/>
    <pivotField dataField="1" showAll="0"/>
    <pivotField showAll="0"/>
    <pivotField dataField="1" showAll="0"/>
    <pivotField dataField="1" showAll="0" defaultSubtotal="0"/>
    <pivotField dataField="1" showAll="0"/>
    <pivotField dataField="1" showAll="0" defaultSubtotal="0"/>
    <pivotField showAll="0"/>
    <pivotField dataField="1" numFmtId="3" showAll="0"/>
    <pivotField showAl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3">
    <i>
      <x/>
    </i>
    <i>
      <x v="2"/>
    </i>
    <i t="grand">
      <x/>
    </i>
  </colItems>
  <dataFields count="9">
    <dataField name="Salaires chargés environnés :" fld="20" baseField="4" baseItem="0"/>
    <dataField name="dont salaires permanents :" fld="21" baseField="4" baseItem="0"/>
    <dataField name="Frais connexes (forfaitaires) :" fld="23" baseField="4" baseItem="3"/>
    <dataField name="Coûts de sous-traitance :" fld="24" baseField="4" baseItem="0"/>
    <dataField name="Frais de mission :" fld="28" baseField="4" baseItem="0"/>
    <dataField name="Coûts de refacturation interne :" fld="27" baseField="4" baseItem="2"/>
    <dataField name="Somme de Equipement Productif (projet d'industrialisation)" fld="26" baseField="0" baseItem="0"/>
    <dataField name="Autres coûts :" fld="29" baseField="5" baseItem="2"/>
    <dataField name="Total des coûts :" fld="31" baseField="4" baseItem="0"/>
  </dataFields>
  <formats count="58">
    <format dxfId="807">
      <pivotArea collapsedLevelsAreSubtotals="1" fieldPosition="0">
        <references count="1">
          <reference field="4294967294" count="5">
            <x v="0"/>
            <x v="1"/>
            <x v="3"/>
            <x v="4"/>
            <x v="8"/>
          </reference>
        </references>
      </pivotArea>
    </format>
    <format dxfId="806">
      <pivotArea outline="0" collapsedLevelsAreSubtotals="1" fieldPosition="0"/>
    </format>
    <format dxfId="805">
      <pivotArea dataOnly="0" labelOnly="1" outline="0" fieldPosition="0">
        <references count="1">
          <reference field="4294967294" count="7">
            <x v="0"/>
            <x v="1"/>
            <x v="2"/>
            <x v="3"/>
            <x v="4"/>
            <x v="5"/>
            <x v="8"/>
          </reference>
        </references>
      </pivotArea>
    </format>
    <format dxfId="804">
      <pivotArea outline="0" collapsedLevelsAreSubtotals="1" fieldPosition="0">
        <references count="1">
          <reference field="5" count="0" selected="0"/>
        </references>
      </pivotArea>
    </format>
    <format dxfId="803">
      <pivotArea grandCol="1" outline="0" collapsedLevelsAreSubtotals="1" fieldPosition="0"/>
    </format>
    <format dxfId="802">
      <pivotArea type="all" dataOnly="0" outline="0" fieldPosition="0"/>
    </format>
    <format dxfId="801">
      <pivotArea outline="0" collapsedLevelsAreSubtotals="1" fieldPosition="0"/>
    </format>
    <format dxfId="800">
      <pivotArea dataOnly="0" labelOnly="1" outline="0" fieldPosition="0">
        <references count="1">
          <reference field="4294967294" count="7">
            <x v="0"/>
            <x v="1"/>
            <x v="2"/>
            <x v="3"/>
            <x v="4"/>
            <x v="5"/>
            <x v="8"/>
          </reference>
        </references>
      </pivotArea>
    </format>
    <format dxfId="799">
      <pivotArea type="all" dataOnly="0" outline="0" fieldPosition="0"/>
    </format>
    <format dxfId="798">
      <pivotArea outline="0" collapsedLevelsAreSubtotals="1" fieldPosition="0"/>
    </format>
    <format dxfId="797">
      <pivotArea type="origin" dataOnly="0" labelOnly="1" outline="0" fieldPosition="0"/>
    </format>
    <format dxfId="796">
      <pivotArea field="5" type="button" dataOnly="0" labelOnly="1" outline="0" axis="axisCol" fieldPosition="0"/>
    </format>
    <format dxfId="795">
      <pivotArea type="topRight" dataOnly="0" labelOnly="1" outline="0" fieldPosition="0"/>
    </format>
    <format dxfId="794">
      <pivotArea field="-2" type="button" dataOnly="0" labelOnly="1" outline="0" axis="axisRow" fieldPosition="0"/>
    </format>
    <format dxfId="793">
      <pivotArea dataOnly="0" labelOnly="1" outline="0" fieldPosition="0">
        <references count="1">
          <reference field="4294967294" count="7">
            <x v="0"/>
            <x v="1"/>
            <x v="2"/>
            <x v="3"/>
            <x v="4"/>
            <x v="5"/>
            <x v="8"/>
          </reference>
        </references>
      </pivotArea>
    </format>
    <format dxfId="792">
      <pivotArea dataOnly="0" labelOnly="1" fieldPosition="0">
        <references count="1">
          <reference field="5" count="0"/>
        </references>
      </pivotArea>
    </format>
    <format dxfId="791">
      <pivotArea dataOnly="0" labelOnly="1" grandCol="1" outline="0" fieldPosition="0"/>
    </format>
    <format dxfId="790">
      <pivotArea field="-2" type="button" dataOnly="0" labelOnly="1" outline="0" axis="axisRow" fieldPosition="0"/>
    </format>
    <format dxfId="789">
      <pivotArea dataOnly="0" labelOnly="1" fieldPosition="0">
        <references count="1">
          <reference field="5" count="0"/>
        </references>
      </pivotArea>
    </format>
    <format dxfId="788">
      <pivotArea dataOnly="0" labelOnly="1" grandCol="1" outline="0" fieldPosition="0"/>
    </format>
    <format dxfId="787">
      <pivotArea outline="0" collapsedLevelsAreSubtotals="1" fieldPosition="0"/>
    </format>
    <format dxfId="786">
      <pivotArea field="5" type="button" dataOnly="0" labelOnly="1" outline="0" axis="axisCol" fieldPosition="0"/>
    </format>
    <format dxfId="785">
      <pivotArea type="topRight" dataOnly="0" labelOnly="1" outline="0" fieldPosition="0"/>
    </format>
    <format dxfId="784">
      <pivotArea dataOnly="0" labelOnly="1" fieldPosition="0">
        <references count="1">
          <reference field="5" count="0"/>
        </references>
      </pivotArea>
    </format>
    <format dxfId="783">
      <pivotArea dataOnly="0" labelOnly="1" grandCol="1" outline="0" fieldPosition="0"/>
    </format>
    <format dxfId="782">
      <pivotArea outline="0" collapsedLevelsAreSubtotals="1" fieldPosition="0"/>
    </format>
    <format dxfId="781">
      <pivotArea field="5" type="button" dataOnly="0" labelOnly="1" outline="0" axis="axisCol" fieldPosition="0"/>
    </format>
    <format dxfId="780">
      <pivotArea type="topRight" dataOnly="0" labelOnly="1" outline="0" fieldPosition="0"/>
    </format>
    <format dxfId="779">
      <pivotArea dataOnly="0" labelOnly="1" fieldPosition="0">
        <references count="1">
          <reference field="5" count="0"/>
        </references>
      </pivotArea>
    </format>
    <format dxfId="778">
      <pivotArea dataOnly="0" labelOnly="1" grandCol="1" outline="0" fieldPosition="0"/>
    </format>
    <format dxfId="777">
      <pivotArea outline="0" collapsedLevelsAreSubtotals="1" fieldPosition="0"/>
    </format>
    <format dxfId="776">
      <pivotArea field="5" type="button" dataOnly="0" labelOnly="1" outline="0" axis="axisCol" fieldPosition="0"/>
    </format>
    <format dxfId="775">
      <pivotArea type="topRight" dataOnly="0" labelOnly="1" outline="0" fieldPosition="0"/>
    </format>
    <format dxfId="774">
      <pivotArea dataOnly="0" labelOnly="1" fieldPosition="0">
        <references count="1">
          <reference field="5" count="0"/>
        </references>
      </pivotArea>
    </format>
    <format dxfId="773">
      <pivotArea dataOnly="0" labelOnly="1" grandCol="1" outline="0" fieldPosition="0"/>
    </format>
    <format dxfId="772">
      <pivotArea outline="0" collapsedLevelsAreSubtotals="1" fieldPosition="0"/>
    </format>
    <format dxfId="771">
      <pivotArea field="5" type="button" dataOnly="0" labelOnly="1" outline="0" axis="axisCol" fieldPosition="0"/>
    </format>
    <format dxfId="770">
      <pivotArea type="topRight" dataOnly="0" labelOnly="1" outline="0" fieldPosition="0"/>
    </format>
    <format dxfId="769">
      <pivotArea dataOnly="0" labelOnly="1" fieldPosition="0">
        <references count="1">
          <reference field="5" count="0"/>
        </references>
      </pivotArea>
    </format>
    <format dxfId="768">
      <pivotArea dataOnly="0" labelOnly="1" grandCol="1" outline="0" fieldPosition="0"/>
    </format>
    <format dxfId="767">
      <pivotArea type="all" dataOnly="0" outline="0" fieldPosition="0"/>
    </format>
    <format dxfId="766">
      <pivotArea outline="0" collapsedLevelsAreSubtotals="1" fieldPosition="0"/>
    </format>
    <format dxfId="765">
      <pivotArea type="origin" dataOnly="0" labelOnly="1" outline="0" fieldPosition="0"/>
    </format>
    <format dxfId="764">
      <pivotArea field="5" type="button" dataOnly="0" labelOnly="1" outline="0" axis="axisCol" fieldPosition="0"/>
    </format>
    <format dxfId="763">
      <pivotArea type="topRight" dataOnly="0" labelOnly="1" outline="0" fieldPosition="0"/>
    </format>
    <format dxfId="762">
      <pivotArea field="-2" type="button" dataOnly="0" labelOnly="1" outline="0" axis="axisRow" fieldPosition="0"/>
    </format>
    <format dxfId="761">
      <pivotArea dataOnly="0" labelOnly="1" outline="0" fieldPosition="0">
        <references count="1">
          <reference field="4294967294" count="8">
            <x v="0"/>
            <x v="1"/>
            <x v="2"/>
            <x v="3"/>
            <x v="4"/>
            <x v="5"/>
            <x v="7"/>
            <x v="8"/>
          </reference>
        </references>
      </pivotArea>
    </format>
    <format dxfId="760">
      <pivotArea dataOnly="0" labelOnly="1" fieldPosition="0">
        <references count="1">
          <reference field="5" count="0"/>
        </references>
      </pivotArea>
    </format>
    <format dxfId="759">
      <pivotArea dataOnly="0" labelOnly="1" grandCol="1" outline="0" fieldPosition="0"/>
    </format>
    <format dxfId="758">
      <pivotArea type="all" dataOnly="0" outline="0" fieldPosition="0"/>
    </format>
    <format dxfId="757">
      <pivotArea outline="0" collapsedLevelsAreSubtotals="1" fieldPosition="0"/>
    </format>
    <format dxfId="756">
      <pivotArea type="origin" dataOnly="0" labelOnly="1" outline="0" fieldPosition="0"/>
    </format>
    <format dxfId="755">
      <pivotArea field="5" type="button" dataOnly="0" labelOnly="1" outline="0" axis="axisCol" fieldPosition="0"/>
    </format>
    <format dxfId="754">
      <pivotArea type="topRight" dataOnly="0" labelOnly="1" outline="0" fieldPosition="0"/>
    </format>
    <format dxfId="753">
      <pivotArea field="-2" type="button" dataOnly="0" labelOnly="1" outline="0" axis="axisRow" fieldPosition="0"/>
    </format>
    <format dxfId="752">
      <pivotArea dataOnly="0" labelOnly="1" outline="0" fieldPosition="0">
        <references count="1">
          <reference field="4294967294" count="8">
            <x v="0"/>
            <x v="1"/>
            <x v="2"/>
            <x v="3"/>
            <x v="4"/>
            <x v="5"/>
            <x v="7"/>
            <x v="8"/>
          </reference>
        </references>
      </pivotArea>
    </format>
    <format dxfId="751">
      <pivotArea dataOnly="0" labelOnly="1" fieldPosition="0">
        <references count="1">
          <reference field="5" count="0"/>
        </references>
      </pivotArea>
    </format>
    <format dxfId="75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6000000}" name="Tableau croisé dynamique8" cacheId="1" dataOnRows="1" applyNumberFormats="0" applyBorderFormats="0" applyFontFormats="0" applyPatternFormats="0" applyAlignmentFormats="0" applyWidthHeightFormats="1" dataCaption="Valeurs" grandTotalCaption="Total" updatedVersion="7" minRefreshableVersion="3" showDataTips="0" itemPrintTitles="1" createdVersion="4" indent="0" outline="1" outlineData="1" multipleFieldFilters="0">
  <location ref="B43:F53" firstHeaderRow="1" firstDataRow="2" firstDataCol="1"/>
  <pivotFields count="54">
    <pivotField showAll="0"/>
    <pivotField showAll="0"/>
    <pivotField showAll="0"/>
    <pivotField showAll="0" defaultSubtotal="0"/>
    <pivotField showAll="0"/>
    <pivotField axis="axisCol" showAll="0" sortType="ascending">
      <items count="8">
        <item m="1" x="4"/>
        <item m="1" x="5"/>
        <item m="1" x="6"/>
        <item x="0"/>
        <item x="1"/>
        <item m="1" x="3"/>
        <item x="2"/>
        <item t="default"/>
      </items>
    </pivotField>
    <pivotField showAll="0" defaultSubtotal="0"/>
    <pivotField showAll="0" defaultSubtotal="0"/>
    <pivotField showAll="0" defaultSubtotal="0"/>
    <pivotField showAll="0"/>
    <pivotField showAll="0"/>
    <pivotField showAll="0"/>
    <pivotField showAll="0"/>
    <pivotField showAll="0"/>
    <pivotField dataField="1" numFmtId="170" showAll="0"/>
    <pivotField showAll="0"/>
    <pivotField showAll="0"/>
    <pivotField showAll="0"/>
    <pivotField showAll="0"/>
    <pivotField showAll="0"/>
    <pivotField numFmtId="3" showAll="0"/>
    <pivotField showAll="0" defaultSubtotal="0"/>
    <pivotField numFmtId="3" showAll="0" defaultSubtotal="0"/>
    <pivotField numFmtId="3" showAll="0" defaultSubtotal="0"/>
    <pivotField showAll="0"/>
    <pivotField showAll="0"/>
    <pivotField showAll="0"/>
    <pivotField showAll="0" defaultSubtotal="0"/>
    <pivotField showAll="0"/>
    <pivotField showAll="0" defaultSubtotal="0"/>
    <pivotField showAll="0" defaultSubtotal="0"/>
    <pivotField dataField="1" numFmtId="3" showAll="0"/>
    <pivotField showAll="0"/>
    <pivotField showAll="0" defaultSubtotal="0"/>
    <pivotField dataField="1" numFmtId="3" showAll="0"/>
    <pivotField dataField="1" numFmtId="3" showAll="0"/>
    <pivotField dataField="1" showAll="0"/>
    <pivotField numFmtId="3" showAll="0" defaultSubtotal="0"/>
    <pivotField numFmtId="3" showAll="0" defaultSubtotal="0"/>
    <pivotField dataField="1" numFmtId="3" showAll="0"/>
    <pivotField numFmtId="3" showAll="0"/>
    <pivotField numFmtId="3" showAll="0"/>
    <pivotField numFmtId="3" showAll="0" defaultSubtotal="0"/>
    <pivotField numFmtId="3" showAll="0"/>
    <pivotField dataField="1"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4">
    <i>
      <x v="3"/>
    </i>
    <i>
      <x v="4"/>
    </i>
    <i>
      <x v="6"/>
    </i>
    <i t="grand">
      <x/>
    </i>
  </colItems>
  <dataFields count="9">
    <dataField name="Total Homme.mois " fld="14" baseField="4" baseItem="2"/>
    <dataField name="Coûts totaux (€)" fld="31" baseField="4" baseItem="14"/>
    <dataField name="Coûts éligibles et retenus (€)" fld="39" baseField="4" baseItem="14"/>
    <dataField name="Coûts RI (€)" fld="34" baseField="4" baseItem="14"/>
    <dataField name="Coûts DE (€)" fld="35" baseField="4" baseItem="14"/>
    <dataField name="Coûts RD (€)" fld="36" baseField="5" baseItem="3"/>
    <dataField name="Subventions (€)" fld="44" baseField="4" baseItem="14"/>
    <dataField name="Avances remboursables (€)" fld="45" baseField="4" baseItem="14"/>
    <dataField name="Aide totale (€)" fld="46" baseField="4" baseItem="14"/>
  </dataFields>
  <formats count="28">
    <format dxfId="835">
      <pivotArea type="all" dataOnly="0" outline="0" fieldPosition="0"/>
    </format>
    <format dxfId="834">
      <pivotArea outline="0" collapsedLevelsAreSubtotals="1" fieldPosition="0"/>
    </format>
    <format dxfId="833">
      <pivotArea outline="0" collapsedLevelsAreSubtotals="1" fieldPosition="0">
        <references count="1">
          <reference field="5" count="0" selected="0"/>
        </references>
      </pivotArea>
    </format>
    <format dxfId="832">
      <pivotArea grandCol="1" outline="0" collapsedLevelsAreSubtotals="1" fieldPosition="0"/>
    </format>
    <format dxfId="831">
      <pivotArea type="all" dataOnly="0" outline="0" fieldPosition="0"/>
    </format>
    <format dxfId="830">
      <pivotArea outline="0" collapsedLevelsAreSubtotals="1" fieldPosition="0"/>
    </format>
    <format dxfId="829">
      <pivotArea outline="0" collapsedLevelsAreSubtotals="1" fieldPosition="0"/>
    </format>
    <format dxfId="828">
      <pivotArea dataOnly="0" labelOnly="1" fieldPosition="0">
        <references count="1">
          <reference field="4294967294" count="0"/>
        </references>
      </pivotArea>
    </format>
    <format dxfId="827">
      <pivotArea outline="0" collapsedLevelsAreSubtotals="1" fieldPosition="0"/>
    </format>
    <format dxfId="826">
      <pivotArea type="all" dataOnly="0" outline="0" fieldPosition="0"/>
    </format>
    <format dxfId="825">
      <pivotArea type="all" dataOnly="0" outline="0" fieldPosition="0"/>
    </format>
    <format dxfId="824">
      <pivotArea outline="0" collapsedLevelsAreSubtotals="1" fieldPosition="0"/>
    </format>
    <format dxfId="823">
      <pivotArea type="origin" dataOnly="0" labelOnly="1" outline="0" fieldPosition="0"/>
    </format>
    <format dxfId="822">
      <pivotArea field="5" type="button" dataOnly="0" labelOnly="1" outline="0" axis="axisCol" fieldPosition="0"/>
    </format>
    <format dxfId="821">
      <pivotArea type="topRight" dataOnly="0" labelOnly="1" outline="0" fieldPosition="0"/>
    </format>
    <format dxfId="820">
      <pivotArea field="-2" type="button" dataOnly="0" labelOnly="1" outline="0" axis="axisRow" fieldPosition="0"/>
    </format>
    <format dxfId="819">
      <pivotArea dataOnly="0" labelOnly="1" outline="0" fieldPosition="0">
        <references count="1">
          <reference field="4294967294" count="8">
            <x v="0"/>
            <x v="1"/>
            <x v="2"/>
            <x v="3"/>
            <x v="4"/>
            <x v="6"/>
            <x v="7"/>
            <x v="8"/>
          </reference>
        </references>
      </pivotArea>
    </format>
    <format dxfId="818">
      <pivotArea dataOnly="0" labelOnly="1" fieldPosition="0">
        <references count="1">
          <reference field="5" count="0"/>
        </references>
      </pivotArea>
    </format>
    <format dxfId="817">
      <pivotArea dataOnly="0" labelOnly="1" grandCol="1" outline="0" fieldPosition="0"/>
    </format>
    <format dxfId="816">
      <pivotArea type="all" dataOnly="0" outline="0" fieldPosition="0"/>
    </format>
    <format dxfId="815">
      <pivotArea outline="0" collapsedLevelsAreSubtotals="1" fieldPosition="0"/>
    </format>
    <format dxfId="814">
      <pivotArea type="origin" dataOnly="0" labelOnly="1" outline="0" fieldPosition="0"/>
    </format>
    <format dxfId="813">
      <pivotArea field="5" type="button" dataOnly="0" labelOnly="1" outline="0" axis="axisCol" fieldPosition="0"/>
    </format>
    <format dxfId="812">
      <pivotArea type="topRight" dataOnly="0" labelOnly="1" outline="0" fieldPosition="0"/>
    </format>
    <format dxfId="811">
      <pivotArea field="-2" type="button" dataOnly="0" labelOnly="1" outline="0" axis="axisRow" fieldPosition="0"/>
    </format>
    <format dxfId="810">
      <pivotArea dataOnly="0" labelOnly="1" outline="0" fieldPosition="0">
        <references count="1">
          <reference field="4294967294" count="8">
            <x v="0"/>
            <x v="1"/>
            <x v="2"/>
            <x v="3"/>
            <x v="4"/>
            <x v="6"/>
            <x v="7"/>
            <x v="8"/>
          </reference>
        </references>
      </pivotArea>
    </format>
    <format dxfId="809">
      <pivotArea dataOnly="0" labelOnly="1" fieldPosition="0">
        <references count="1">
          <reference field="5" count="0"/>
        </references>
      </pivotArea>
    </format>
    <format dxfId="80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Tableau croisé dynamique4" cacheId="2" applyNumberFormats="0" applyBorderFormats="0" applyFontFormats="0" applyPatternFormats="0" applyAlignmentFormats="0" applyWidthHeightFormats="1" dataCaption="Valeurs" updatedVersion="7" minRefreshableVersion="3" itemPrintTitles="1" createdVersion="4" indent="0" outline="1" outlineData="1" multipleFieldFilters="0">
  <location ref="B17:G20" firstHeaderRow="0" firstDataRow="1" firstDataCol="1"/>
  <pivotFields count="54">
    <pivotField showAll="0"/>
    <pivotField showAll="0"/>
    <pivotField showAll="0"/>
    <pivotField showAll="0" defaultSubtotal="0"/>
    <pivotField showAll="0"/>
    <pivotField axis="axisRow" showAll="0" sortType="ascending">
      <items count="4">
        <item x="0"/>
        <item m="1" x="2"/>
        <item x="1"/>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dataField="1" numFmtId="3" showAll="0"/>
    <pivotField showAll="0"/>
    <pivotField numFmtId="171" showAll="0" defaultSubtotal="0"/>
    <pivotField numFmtId="3" showAll="0" defaultSubtotal="0"/>
    <pivotField numFmtId="3" showAll="0" defaultSubtotal="0"/>
    <pivotField showAll="0"/>
    <pivotField numFmtId="3" showAll="0" defaultSubtotal="0"/>
    <pivotField numFmtId="3" showAll="0" defaultSubtotal="0"/>
    <pivotField dataField="1"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ataField="1"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3">
    <i>
      <x/>
    </i>
    <i>
      <x v="2"/>
    </i>
    <i t="grand">
      <x/>
    </i>
  </rowItems>
  <colFields count="1">
    <field x="-2"/>
  </colFields>
  <colItems count="5">
    <i>
      <x/>
    </i>
    <i i="1">
      <x v="1"/>
    </i>
    <i i="2">
      <x v="2"/>
    </i>
    <i i="3">
      <x v="3"/>
    </i>
    <i i="4">
      <x v="4"/>
    </i>
  </colItems>
  <dataFields count="5">
    <dataField name="Coûts totaux" fld="31" baseField="4" baseItem="1"/>
    <dataField name="Assiette retenue des coûts éligibles" fld="39" baseField="4" baseItem="1"/>
    <dataField name="Montant de subventions" fld="44" baseField="4" baseItem="1"/>
    <dataField name="Montant d'avance remboursable" fld="45" baseField="4" baseItem="1"/>
    <dataField name="Montant d'aide totale" fld="46" baseField="4" baseItem="1"/>
  </dataFields>
  <formats count="59">
    <format dxfId="894">
      <pivotArea outline="0" collapsedLevelsAreSubtotals="1" fieldPosition="0"/>
    </format>
    <format dxfId="893">
      <pivotArea grandCol="1" outline="0" collapsedLevelsAreSubtotals="1" fieldPosition="0"/>
    </format>
    <format dxfId="892">
      <pivotArea type="all" dataOnly="0" outline="0" fieldPosition="0"/>
    </format>
    <format dxfId="891">
      <pivotArea outline="0" collapsedLevelsAreSubtotals="1" fieldPosition="0"/>
    </format>
    <format dxfId="890">
      <pivotArea dataOnly="0" labelOnly="1" grandRow="1" outline="0" fieldPosition="0"/>
    </format>
    <format dxfId="889">
      <pivotArea dataOnly="0" labelOnly="1" outline="0" fieldPosition="0">
        <references count="1">
          <reference field="4294967294" count="5">
            <x v="0"/>
            <x v="1"/>
            <x v="2"/>
            <x v="3"/>
            <x v="4"/>
          </reference>
        </references>
      </pivotArea>
    </format>
    <format dxfId="888">
      <pivotArea dataOnly="0" labelOnly="1" outline="0" fieldPosition="0">
        <references count="1">
          <reference field="4294967294" count="1">
            <x v="1"/>
          </reference>
        </references>
      </pivotArea>
    </format>
    <format dxfId="887">
      <pivotArea dataOnly="0" labelOnly="1" outline="0" fieldPosition="0">
        <references count="1">
          <reference field="4294967294" count="5">
            <x v="0"/>
            <x v="1"/>
            <x v="2"/>
            <x v="3"/>
            <x v="4"/>
          </reference>
        </references>
      </pivotArea>
    </format>
    <format dxfId="886">
      <pivotArea dataOnly="0" labelOnly="1" outline="0" fieldPosition="0">
        <references count="1">
          <reference field="4294967294" count="5">
            <x v="0"/>
            <x v="1"/>
            <x v="2"/>
            <x v="3"/>
            <x v="4"/>
          </reference>
        </references>
      </pivotArea>
    </format>
    <format dxfId="885">
      <pivotArea dataOnly="0" labelOnly="1" outline="0" fieldPosition="0">
        <references count="1">
          <reference field="4294967294" count="5">
            <x v="0"/>
            <x v="1"/>
            <x v="2"/>
            <x v="3"/>
            <x v="4"/>
          </reference>
        </references>
      </pivotArea>
    </format>
    <format dxfId="884">
      <pivotArea dataOnly="0" labelOnly="1" outline="0" fieldPosition="0">
        <references count="1">
          <reference field="4294967294" count="5">
            <x v="0"/>
            <x v="1"/>
            <x v="2"/>
            <x v="3"/>
            <x v="4"/>
          </reference>
        </references>
      </pivotArea>
    </format>
    <format dxfId="883">
      <pivotArea dataOnly="0" labelOnly="1" outline="0" fieldPosition="0">
        <references count="1">
          <reference field="4294967294" count="5">
            <x v="0"/>
            <x v="1"/>
            <x v="2"/>
            <x v="3"/>
            <x v="4"/>
          </reference>
        </references>
      </pivotArea>
    </format>
    <format dxfId="882">
      <pivotArea dataOnly="0" labelOnly="1" outline="0" fieldPosition="0">
        <references count="1">
          <reference field="4294967294" count="5">
            <x v="0"/>
            <x v="1"/>
            <x v="2"/>
            <x v="3"/>
            <x v="4"/>
          </reference>
        </references>
      </pivotArea>
    </format>
    <format dxfId="881">
      <pivotArea dataOnly="0" labelOnly="1" outline="0" fieldPosition="0">
        <references count="1">
          <reference field="4294967294" count="5">
            <x v="0"/>
            <x v="1"/>
            <x v="2"/>
            <x v="3"/>
            <x v="4"/>
          </reference>
        </references>
      </pivotArea>
    </format>
    <format dxfId="880">
      <pivotArea type="all" dataOnly="0" outline="0" fieldPosition="0"/>
    </format>
    <format dxfId="879">
      <pivotArea outline="0" collapsedLevelsAreSubtotals="1" fieldPosition="0"/>
    </format>
    <format dxfId="878">
      <pivotArea dataOnly="0" labelOnly="1" grandRow="1" outline="0" fieldPosition="0"/>
    </format>
    <format dxfId="877">
      <pivotArea dataOnly="0" labelOnly="1" outline="0" fieldPosition="0">
        <references count="1">
          <reference field="4294967294" count="5">
            <x v="0"/>
            <x v="1"/>
            <x v="2"/>
            <x v="3"/>
            <x v="4"/>
          </reference>
        </references>
      </pivotArea>
    </format>
    <format dxfId="876">
      <pivotArea type="all" dataOnly="0" outline="0" fieldPosition="0"/>
    </format>
    <format dxfId="875">
      <pivotArea outline="0" collapsedLevelsAreSubtotals="1" fieldPosition="0"/>
    </format>
    <format dxfId="874">
      <pivotArea dataOnly="0" labelOnly="1" grandRow="1" outline="0" fieldPosition="0"/>
    </format>
    <format dxfId="873">
      <pivotArea dataOnly="0" labelOnly="1" outline="0" fieldPosition="0">
        <references count="1">
          <reference field="4294967294" count="5">
            <x v="0"/>
            <x v="1"/>
            <x v="2"/>
            <x v="3"/>
            <x v="4"/>
          </reference>
        </references>
      </pivotArea>
    </format>
    <format dxfId="872">
      <pivotArea type="all" dataOnly="0" outline="0" fieldPosition="0"/>
    </format>
    <format dxfId="871">
      <pivotArea outline="0" collapsedLevelsAreSubtotals="1" fieldPosition="0"/>
    </format>
    <format dxfId="870">
      <pivotArea dataOnly="0" labelOnly="1" grandRow="1" outline="0" fieldPosition="0"/>
    </format>
    <format dxfId="869">
      <pivotArea dataOnly="0" labelOnly="1" outline="0" fieldPosition="0">
        <references count="1">
          <reference field="4294967294" count="5">
            <x v="0"/>
            <x v="1"/>
            <x v="2"/>
            <x v="3"/>
            <x v="4"/>
          </reference>
        </references>
      </pivotArea>
    </format>
    <format dxfId="868">
      <pivotArea type="all" dataOnly="0" outline="0" fieldPosition="0"/>
    </format>
    <format dxfId="867">
      <pivotArea outline="0" collapsedLevelsAreSubtotals="1" fieldPosition="0"/>
    </format>
    <format dxfId="866">
      <pivotArea dataOnly="0" labelOnly="1" grandRow="1" outline="0" fieldPosition="0"/>
    </format>
    <format dxfId="865">
      <pivotArea dataOnly="0" labelOnly="1" outline="0" fieldPosition="0">
        <references count="1">
          <reference field="4294967294" count="5">
            <x v="0"/>
            <x v="1"/>
            <x v="2"/>
            <x v="3"/>
            <x v="4"/>
          </reference>
        </references>
      </pivotArea>
    </format>
    <format dxfId="864">
      <pivotArea type="all" dataOnly="0" outline="0" fieldPosition="0"/>
    </format>
    <format dxfId="863">
      <pivotArea outline="0" collapsedLevelsAreSubtotals="1" fieldPosition="0"/>
    </format>
    <format dxfId="862">
      <pivotArea dataOnly="0" labelOnly="1" grandRow="1" outline="0" fieldPosition="0"/>
    </format>
    <format dxfId="861">
      <pivotArea dataOnly="0" labelOnly="1" outline="0" fieldPosition="0">
        <references count="1">
          <reference field="4294967294" count="5">
            <x v="0"/>
            <x v="1"/>
            <x v="2"/>
            <x v="3"/>
            <x v="4"/>
          </reference>
        </references>
      </pivotArea>
    </format>
    <format dxfId="860">
      <pivotArea type="all" dataOnly="0" outline="0" fieldPosition="0"/>
    </format>
    <format dxfId="859">
      <pivotArea outline="0" collapsedLevelsAreSubtotals="1" fieldPosition="0"/>
    </format>
    <format dxfId="858">
      <pivotArea dataOnly="0" labelOnly="1" grandRow="1" outline="0" fieldPosition="0"/>
    </format>
    <format dxfId="857">
      <pivotArea dataOnly="0" labelOnly="1" outline="0" fieldPosition="0">
        <references count="1">
          <reference field="4294967294" count="5">
            <x v="0"/>
            <x v="1"/>
            <x v="2"/>
            <x v="3"/>
            <x v="4"/>
          </reference>
        </references>
      </pivotArea>
    </format>
    <format dxfId="856">
      <pivotArea type="all" dataOnly="0" outline="0" fieldPosition="0"/>
    </format>
    <format dxfId="855">
      <pivotArea outline="0" collapsedLevelsAreSubtotals="1" fieldPosition="0"/>
    </format>
    <format dxfId="854">
      <pivotArea field="5" type="button" dataOnly="0" labelOnly="1" outline="0" axis="axisRow" fieldPosition="0"/>
    </format>
    <format dxfId="853">
      <pivotArea dataOnly="0" labelOnly="1" grandRow="1" outline="0" fieldPosition="0"/>
    </format>
    <format dxfId="852">
      <pivotArea dataOnly="0" labelOnly="1" outline="0" fieldPosition="0">
        <references count="1">
          <reference field="4294967294" count="5">
            <x v="0"/>
            <x v="1"/>
            <x v="2"/>
            <x v="3"/>
            <x v="4"/>
          </reference>
        </references>
      </pivotArea>
    </format>
    <format dxfId="851">
      <pivotArea type="all" dataOnly="0" outline="0" fieldPosition="0"/>
    </format>
    <format dxfId="850">
      <pivotArea outline="0" collapsedLevelsAreSubtotals="1" fieldPosition="0"/>
    </format>
    <format dxfId="849">
      <pivotArea field="5" type="button" dataOnly="0" labelOnly="1" outline="0" axis="axisRow" fieldPosition="0"/>
    </format>
    <format dxfId="848">
      <pivotArea dataOnly="0" labelOnly="1" grandRow="1" outline="0" fieldPosition="0"/>
    </format>
    <format dxfId="847">
      <pivotArea dataOnly="0" labelOnly="1" outline="0" fieldPosition="0">
        <references count="1">
          <reference field="4294967294" count="5">
            <x v="0"/>
            <x v="1"/>
            <x v="2"/>
            <x v="3"/>
            <x v="4"/>
          </reference>
        </references>
      </pivotArea>
    </format>
    <format dxfId="846">
      <pivotArea type="all" dataOnly="0" outline="0" fieldPosition="0"/>
    </format>
    <format dxfId="845">
      <pivotArea outline="0" collapsedLevelsAreSubtotals="1" fieldPosition="0"/>
    </format>
    <format dxfId="844">
      <pivotArea field="5" type="button" dataOnly="0" labelOnly="1" outline="0" axis="axisRow" fieldPosition="0"/>
    </format>
    <format dxfId="843">
      <pivotArea dataOnly="0" labelOnly="1" grandRow="1" outline="0" fieldPosition="0"/>
    </format>
    <format dxfId="842">
      <pivotArea dataOnly="0" labelOnly="1" outline="0" fieldPosition="0">
        <references count="1">
          <reference field="4294967294" count="5">
            <x v="0"/>
            <x v="1"/>
            <x v="2"/>
            <x v="3"/>
            <x v="4"/>
          </reference>
        </references>
      </pivotArea>
    </format>
    <format dxfId="841">
      <pivotArea type="all" dataOnly="0" outline="0" fieldPosition="0"/>
    </format>
    <format dxfId="840">
      <pivotArea outline="0" collapsedLevelsAreSubtotals="1" fieldPosition="0"/>
    </format>
    <format dxfId="839">
      <pivotArea field="5" type="button" dataOnly="0" labelOnly="1" outline="0" axis="axisRow" fieldPosition="0"/>
    </format>
    <format dxfId="838">
      <pivotArea dataOnly="0" labelOnly="1" fieldPosition="0">
        <references count="1">
          <reference field="5" count="0"/>
        </references>
      </pivotArea>
    </format>
    <format dxfId="837">
      <pivotArea dataOnly="0" labelOnly="1" grandRow="1" outline="0" fieldPosition="0"/>
    </format>
    <format dxfId="836">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eau croisé dynamique1" cacheId="3" dataOnRows="1" applyNumberFormats="0" applyBorderFormats="0" applyFontFormats="0" applyPatternFormats="0" applyAlignmentFormats="0" applyWidthHeightFormats="1" dataCaption="Valeurs" grandTotalCaption="Total des dépenses pour l'opération en €" missingCaption="0" updatedVersion="7" minRefreshableVersion="3" showDrill="0" itemPrintTitles="1" createdVersion="6" indent="0" outline="1" outlineData="1" multipleFieldFilters="0">
  <location ref="A3:M122" firstHeaderRow="1" firstDataRow="3" firstDataCol="2" rowPageCount="1" colPageCount="1"/>
  <pivotFields count="62">
    <pivotField axis="axisRow" outline="0" subtotalTop="0" showAll="0">
      <items count="6">
        <item x="4"/>
        <item x="0"/>
        <item x="1"/>
        <item x="2"/>
        <item x="3"/>
        <item t="default"/>
      </items>
    </pivotField>
    <pivotField subtotalTop="0" showAll="0"/>
    <pivotField subtotalTop="0" showAll="0"/>
    <pivotField subtotalTop="0" showAll="0"/>
    <pivotField subtotalTop="0" showAll="0"/>
    <pivotField axis="axisPage" subtotalTop="0" multipleItemSelectionAllowed="1" showAll="0">
      <items count="8">
        <item m="1" x="4"/>
        <item m="1" x="5"/>
        <item m="1" x="6"/>
        <item x="1"/>
        <item m="1" x="3"/>
        <item x="0"/>
        <item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68" subtotalTop="0" showAll="0"/>
    <pivotField subtotalTop="0" showAll="0"/>
    <pivotField subtotalTop="0" showAll="0"/>
    <pivotField subtotalTop="0" showAll="0"/>
    <pivotField subtotalTop="0" showAll="0"/>
    <pivotField subtotalTop="0" showAll="0"/>
    <pivotField numFmtId="168" subtotalTop="0" showAll="0"/>
    <pivotField dataField="1" subtotalTop="0" showAll="0"/>
    <pivotField dataField="1" numFmtId="168" subtotalTop="0" showAll="0"/>
    <pivotField dataField="1" numFmtId="168" subtotalTop="0" showAll="0"/>
    <pivotField dataField="1" subtotalTop="0" showAll="0"/>
    <pivotField axis="axisRow" showAll="0">
      <items count="4">
        <item x="0"/>
        <item x="1"/>
        <item x="2"/>
        <item t="default"/>
      </items>
    </pivotField>
    <pivotField dataField="1" showAll="0"/>
    <pivotField dataField="1" subtotalTop="0" showAll="0"/>
    <pivotField dataField="1" subtotalTop="0" showAll="0"/>
    <pivotField dataField="1" subtotalTop="0" showAll="0"/>
    <pivotField subtotalTop="0" showAll="0"/>
    <pivotField dataField="1" numFmtId="168" subtotalTop="0" showAll="0"/>
    <pivotField axis="axisCol" subtotalTop="0">
      <items count="8">
        <item n="Total DE" x="0"/>
        <item m="1" x="6"/>
        <item m="1" x="5"/>
        <item x="3"/>
        <item n="Total RI" x="1"/>
        <item h="1" x="4"/>
        <item x="2"/>
        <item t="default"/>
      </items>
    </pivotField>
    <pivotField numFmtId="9" subtotalTop="0" showAll="0"/>
    <pivotField numFmtId="169" subtotalTop="0" showAll="0"/>
    <pivotField numFmtId="169" subtotalTop="0" showAll="0"/>
    <pivotField numFmtId="169"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axis="axisCol" subtotalCaption="Total ? en €" subtotalTop="0">
      <items count="6">
        <item n="Coûts PE" x="0"/>
        <item x="1"/>
        <item n="Coûts RDI" x="2"/>
        <item n="Coûts non retenus et non éligibles" x="3"/>
        <item x="4"/>
        <item t="default"/>
      </items>
    </pivotField>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3">
    <field x="0"/>
    <field x="-2"/>
    <field x="25"/>
  </rowFields>
  <rowItems count="117">
    <i>
      <x v="1"/>
      <x/>
    </i>
    <i r="2">
      <x/>
    </i>
    <i r="1" i="1">
      <x v="1"/>
    </i>
    <i r="2" i="1">
      <x/>
    </i>
    <i r="1" i="2">
      <x v="2"/>
    </i>
    <i r="2" i="2">
      <x/>
    </i>
    <i r="1" i="3">
      <x v="3"/>
    </i>
    <i r="2" i="3">
      <x/>
    </i>
    <i r="1" i="4">
      <x v="4"/>
    </i>
    <i r="2" i="4">
      <x/>
    </i>
    <i r="1" i="5">
      <x v="5"/>
    </i>
    <i r="2" i="5">
      <x/>
    </i>
    <i r="1" i="6">
      <x v="6"/>
    </i>
    <i r="2" i="6">
      <x/>
    </i>
    <i r="1" i="7">
      <x v="7"/>
    </i>
    <i r="2" i="7">
      <x/>
    </i>
    <i r="1" i="8">
      <x v="8"/>
    </i>
    <i r="2" i="8">
      <x/>
    </i>
    <i t="default">
      <x v="1"/>
    </i>
    <i t="default" i="1">
      <x v="1"/>
    </i>
    <i t="default" i="2">
      <x v="1"/>
    </i>
    <i t="default" i="3">
      <x v="1"/>
    </i>
    <i t="default" i="4">
      <x v="1"/>
    </i>
    <i t="default" i="5">
      <x v="1"/>
    </i>
    <i t="default" i="6">
      <x v="1"/>
    </i>
    <i t="default" i="7">
      <x v="1"/>
    </i>
    <i t="default" i="8">
      <x v="1"/>
    </i>
    <i>
      <x v="2"/>
      <x/>
    </i>
    <i r="2">
      <x v="1"/>
    </i>
    <i r="1" i="1">
      <x v="1"/>
    </i>
    <i r="2" i="1">
      <x v="1"/>
    </i>
    <i r="1" i="2">
      <x v="2"/>
    </i>
    <i r="2" i="2">
      <x v="1"/>
    </i>
    <i r="1" i="3">
      <x v="3"/>
    </i>
    <i r="2" i="3">
      <x v="1"/>
    </i>
    <i r="1" i="4">
      <x v="4"/>
    </i>
    <i r="2" i="4">
      <x v="1"/>
    </i>
    <i r="1" i="5">
      <x v="5"/>
    </i>
    <i r="2" i="5">
      <x v="1"/>
    </i>
    <i r="1" i="6">
      <x v="6"/>
    </i>
    <i r="2" i="6">
      <x v="1"/>
    </i>
    <i r="1" i="7">
      <x v="7"/>
    </i>
    <i r="2" i="7">
      <x v="1"/>
    </i>
    <i r="1" i="8">
      <x v="8"/>
    </i>
    <i r="2" i="8">
      <x v="1"/>
    </i>
    <i t="default">
      <x v="2"/>
    </i>
    <i t="default" i="1">
      <x v="2"/>
    </i>
    <i t="default" i="2">
      <x v="2"/>
    </i>
    <i t="default" i="3">
      <x v="2"/>
    </i>
    <i t="default" i="4">
      <x v="2"/>
    </i>
    <i t="default" i="5">
      <x v="2"/>
    </i>
    <i t="default" i="6">
      <x v="2"/>
    </i>
    <i t="default" i="7">
      <x v="2"/>
    </i>
    <i t="default" i="8">
      <x v="2"/>
    </i>
    <i>
      <x v="3"/>
      <x/>
    </i>
    <i r="2">
      <x/>
    </i>
    <i r="1" i="1">
      <x v="1"/>
    </i>
    <i r="2" i="1">
      <x/>
    </i>
    <i r="1" i="2">
      <x v="2"/>
    </i>
    <i r="2" i="2">
      <x/>
    </i>
    <i r="1" i="3">
      <x v="3"/>
    </i>
    <i r="2" i="3">
      <x/>
    </i>
    <i r="1" i="4">
      <x v="4"/>
    </i>
    <i r="2" i="4">
      <x/>
    </i>
    <i r="1" i="5">
      <x v="5"/>
    </i>
    <i r="2" i="5">
      <x/>
    </i>
    <i r="1" i="6">
      <x v="6"/>
    </i>
    <i r="2" i="6">
      <x/>
    </i>
    <i r="1" i="7">
      <x v="7"/>
    </i>
    <i r="2" i="7">
      <x/>
    </i>
    <i r="1" i="8">
      <x v="8"/>
    </i>
    <i r="2" i="8">
      <x/>
    </i>
    <i t="default">
      <x v="3"/>
    </i>
    <i t="default" i="1">
      <x v="3"/>
    </i>
    <i t="default" i="2">
      <x v="3"/>
    </i>
    <i t="default" i="3">
      <x v="3"/>
    </i>
    <i t="default" i="4">
      <x v="3"/>
    </i>
    <i t="default" i="5">
      <x v="3"/>
    </i>
    <i t="default" i="6">
      <x v="3"/>
    </i>
    <i t="default" i="7">
      <x v="3"/>
    </i>
    <i t="default" i="8">
      <x v="3"/>
    </i>
    <i>
      <x v="4"/>
      <x/>
    </i>
    <i r="2">
      <x/>
    </i>
    <i r="1" i="1">
      <x v="1"/>
    </i>
    <i r="2" i="1">
      <x/>
    </i>
    <i r="1" i="2">
      <x v="2"/>
    </i>
    <i r="2" i="2">
      <x/>
    </i>
    <i r="1" i="3">
      <x v="3"/>
    </i>
    <i r="2" i="3">
      <x/>
    </i>
    <i r="1" i="4">
      <x v="4"/>
    </i>
    <i r="2" i="4">
      <x/>
    </i>
    <i r="1" i="5">
      <x v="5"/>
    </i>
    <i r="2" i="5">
      <x/>
    </i>
    <i r="1" i="6">
      <x v="6"/>
    </i>
    <i r="2" i="6">
      <x/>
    </i>
    <i r="1" i="7">
      <x v="7"/>
    </i>
    <i r="2" i="7">
      <x/>
    </i>
    <i r="1" i="8">
      <x v="8"/>
    </i>
    <i r="2" i="8">
      <x/>
    </i>
    <i t="default">
      <x v="4"/>
    </i>
    <i t="default" i="1">
      <x v="4"/>
    </i>
    <i t="default" i="2">
      <x v="4"/>
    </i>
    <i t="default" i="3">
      <x v="4"/>
    </i>
    <i t="default" i="4">
      <x v="4"/>
    </i>
    <i t="default" i="5">
      <x v="4"/>
    </i>
    <i t="default" i="6">
      <x v="4"/>
    </i>
    <i t="default" i="7">
      <x v="4"/>
    </i>
    <i t="default" i="8">
      <x v="4"/>
    </i>
    <i t="grand">
      <x/>
    </i>
    <i t="grand" i="1">
      <x/>
    </i>
    <i t="grand" i="2">
      <x/>
    </i>
    <i t="grand" i="3">
      <x/>
    </i>
    <i t="grand" i="4">
      <x/>
    </i>
    <i t="grand" i="5">
      <x/>
    </i>
    <i t="grand" i="6">
      <x/>
    </i>
    <i t="grand" i="7">
      <x/>
    </i>
    <i t="grand" i="8">
      <x/>
    </i>
  </rowItems>
  <colFields count="2">
    <field x="53"/>
    <field x="32"/>
  </colFields>
  <colItems count="11">
    <i>
      <x/>
      <x v="3"/>
    </i>
    <i t="default">
      <x/>
    </i>
    <i>
      <x v="2"/>
      <x/>
    </i>
    <i r="1">
      <x v="4"/>
    </i>
    <i t="default">
      <x v="2"/>
    </i>
    <i>
      <x v="3"/>
      <x v="1"/>
    </i>
    <i r="1">
      <x v="2"/>
    </i>
    <i t="default">
      <x v="3"/>
    </i>
    <i>
      <x v="4"/>
      <x v="6"/>
    </i>
    <i t="default">
      <x v="4"/>
    </i>
    <i t="grand">
      <x/>
    </i>
  </colItems>
  <pageFields count="1">
    <pageField fld="5" hier="-1"/>
  </pageFields>
  <dataFields count="9">
    <dataField name="Salaires chargés non environnés sans pers. permanents" fld="22" baseField="0" baseItem="1"/>
    <dataField name="Salaires chargés non environnés personnels permanents" fld="21" baseField="0" baseItem="1"/>
    <dataField name="Frais connexes (forfaitaires) :" fld="23" baseField="0" baseItem="0"/>
    <dataField name="Coûts de sous-traitance :" fld="24" baseField="0" baseItem="0"/>
    <dataField name="Coûts de refacturation interne :" fld="27" baseField="0" baseItem="0"/>
    <dataField name="Frais de mission :" fld="28" baseField="0" baseItem="0"/>
    <dataField name="Somme de Equipement Productif (projet d'industrialisation)" fld="26" baseField="0" baseItem="0"/>
    <dataField name="Autres coûts :" fld="29" baseField="0" baseItem="0"/>
    <dataField name="Coûts totaux" fld="31" baseField="0" baseItem="0"/>
  </dataFields>
  <formats count="365">
    <format dxfId="550">
      <pivotArea dataOnly="0" labelOnly="1" grandCol="1" outline="0" fieldPosition="0"/>
    </format>
    <format dxfId="549">
      <pivotArea collapsedLevelsAreSubtotals="1" fieldPosition="0">
        <references count="2">
          <reference field="4294967294" count="7">
            <x v="1"/>
            <x v="2"/>
            <x v="3"/>
            <x v="4"/>
            <x v="5"/>
            <x v="7"/>
            <x v="8"/>
          </reference>
          <reference field="0" count="1" selected="0">
            <x v="0"/>
          </reference>
        </references>
      </pivotArea>
    </format>
    <format dxfId="548">
      <pivotArea collapsedLevelsAreSubtotals="1" fieldPosition="0">
        <references count="2">
          <reference field="4294967294" count="7">
            <x v="1"/>
            <x v="2"/>
            <x v="3"/>
            <x v="4"/>
            <x v="5"/>
            <x v="7"/>
            <x v="8"/>
          </reference>
          <reference field="0" count="1" selected="0">
            <x v="1"/>
          </reference>
        </references>
      </pivotArea>
    </format>
    <format dxfId="547">
      <pivotArea type="origin" dataOnly="0" labelOnly="1" outline="0" fieldPosition="0"/>
    </format>
    <format dxfId="546">
      <pivotArea field="32" type="button" dataOnly="0" labelOnly="1" outline="0" axis="axisCol" fieldPosition="1"/>
    </format>
    <format dxfId="545">
      <pivotArea type="topRight" dataOnly="0" labelOnly="1" outline="0" fieldPosition="0"/>
    </format>
    <format dxfId="544">
      <pivotArea field="0" type="button" dataOnly="0" labelOnly="1" outline="0" axis="axisRow" fieldPosition="0"/>
    </format>
    <format dxfId="543">
      <pivotArea field="-2" type="button" dataOnly="0" labelOnly="1" outline="0" axis="axisRow" fieldPosition="1"/>
    </format>
    <format dxfId="542">
      <pivotArea dataOnly="0" labelOnly="1" fieldPosition="0">
        <references count="1">
          <reference field="0" count="0"/>
        </references>
      </pivotArea>
    </format>
    <format dxfId="541">
      <pivotArea dataOnly="0" labelOnly="1" outline="0" fieldPosition="0">
        <references count="2">
          <reference field="4294967294" count="7">
            <x v="1"/>
            <x v="2"/>
            <x v="3"/>
            <x v="4"/>
            <x v="5"/>
            <x v="7"/>
            <x v="8"/>
          </reference>
          <reference field="0" count="1" selected="0">
            <x v="0"/>
          </reference>
        </references>
      </pivotArea>
    </format>
    <format dxfId="540">
      <pivotArea dataOnly="0" labelOnly="1" outline="0" fieldPosition="0">
        <references count="2">
          <reference field="4294967294" count="7">
            <x v="1"/>
            <x v="2"/>
            <x v="3"/>
            <x v="4"/>
            <x v="5"/>
            <x v="7"/>
            <x v="8"/>
          </reference>
          <reference field="0" count="1" selected="0">
            <x v="1"/>
          </reference>
        </references>
      </pivotArea>
    </format>
    <format dxfId="539">
      <pivotArea dataOnly="0" labelOnly="1" grandCol="1" outline="0" fieldPosition="0"/>
    </format>
    <format dxfId="538">
      <pivotArea type="all" dataOnly="0" outline="0" fieldPosition="0"/>
    </format>
    <format dxfId="537">
      <pivotArea outline="0" collapsedLevelsAreSubtotals="1" fieldPosition="0"/>
    </format>
    <format dxfId="536">
      <pivotArea type="origin" dataOnly="0" labelOnly="1" outline="0" fieldPosition="0"/>
    </format>
    <format dxfId="535">
      <pivotArea field="32" type="button" dataOnly="0" labelOnly="1" outline="0" axis="axisCol" fieldPosition="1"/>
    </format>
    <format dxfId="534">
      <pivotArea type="topRight" dataOnly="0" labelOnly="1" outline="0" fieldPosition="0"/>
    </format>
    <format dxfId="533">
      <pivotArea field="0" type="button" dataOnly="0" labelOnly="1" outline="0" axis="axisRow" fieldPosition="0"/>
    </format>
    <format dxfId="532">
      <pivotArea field="-2" type="button" dataOnly="0" labelOnly="1" outline="0" axis="axisRow" fieldPosition="1"/>
    </format>
    <format dxfId="531">
      <pivotArea dataOnly="0" labelOnly="1" fieldPosition="0">
        <references count="1">
          <reference field="0" count="1">
            <x v="1"/>
          </reference>
        </references>
      </pivotArea>
    </format>
    <format dxfId="530">
      <pivotArea field="0" dataOnly="0" labelOnly="1" grandRow="1" outline="0" axis="axisRow" fieldPosition="0">
        <references count="1">
          <reference field="4294967294" count="1" selected="0">
            <x v="1"/>
          </reference>
        </references>
      </pivotArea>
    </format>
    <format dxfId="529">
      <pivotArea field="0" dataOnly="0" labelOnly="1" grandRow="1" outline="0" axis="axisRow" fieldPosition="0">
        <references count="1">
          <reference field="4294967294" count="1" selected="0">
            <x v="2"/>
          </reference>
        </references>
      </pivotArea>
    </format>
    <format dxfId="528">
      <pivotArea field="0" dataOnly="0" labelOnly="1" grandRow="1" outline="0" axis="axisRow" fieldPosition="0">
        <references count="1">
          <reference field="4294967294" count="1" selected="0">
            <x v="3"/>
          </reference>
        </references>
      </pivotArea>
    </format>
    <format dxfId="527">
      <pivotArea field="0" dataOnly="0" labelOnly="1" grandRow="1" outline="0" axis="axisRow" fieldPosition="0">
        <references count="1">
          <reference field="4294967294" count="1" selected="0">
            <x v="4"/>
          </reference>
        </references>
      </pivotArea>
    </format>
    <format dxfId="526">
      <pivotArea field="0" dataOnly="0" labelOnly="1" grandRow="1" outline="0" axis="axisRow" fieldPosition="0">
        <references count="1">
          <reference field="4294967294" count="1" selected="0">
            <x v="5"/>
          </reference>
        </references>
      </pivotArea>
    </format>
    <format dxfId="525">
      <pivotArea field="0" dataOnly="0" labelOnly="1" grandRow="1" outline="0" axis="axisRow" fieldPosition="0">
        <references count="1">
          <reference field="4294967294" count="1" selected="0">
            <x v="7"/>
          </reference>
        </references>
      </pivotArea>
    </format>
    <format dxfId="524">
      <pivotArea field="0" dataOnly="0" labelOnly="1" grandRow="1" outline="0" axis="axisRow" fieldPosition="0">
        <references count="1">
          <reference field="4294967294" count="1" selected="0">
            <x v="8"/>
          </reference>
        </references>
      </pivotArea>
    </format>
    <format dxfId="523">
      <pivotArea field="0" dataOnly="0" labelOnly="1" grandRow="1" outline="0" axis="axisRow" fieldPosition="0">
        <references count="1">
          <reference field="4294967294" count="1" selected="0">
            <x v="1"/>
          </reference>
        </references>
      </pivotArea>
    </format>
    <format dxfId="522">
      <pivotArea field="0" dataOnly="0" labelOnly="1" grandRow="1" outline="0" axis="axisRow" fieldPosition="0">
        <references count="1">
          <reference field="4294967294" count="1" selected="0">
            <x v="2"/>
          </reference>
        </references>
      </pivotArea>
    </format>
    <format dxfId="521">
      <pivotArea field="0" dataOnly="0" labelOnly="1" grandRow="1" outline="0" axis="axisRow" fieldPosition="0">
        <references count="1">
          <reference field="4294967294" count="1" selected="0">
            <x v="3"/>
          </reference>
        </references>
      </pivotArea>
    </format>
    <format dxfId="520">
      <pivotArea field="0" dataOnly="0" labelOnly="1" grandRow="1" outline="0" axis="axisRow" fieldPosition="0">
        <references count="1">
          <reference field="4294967294" count="1" selected="0">
            <x v="4"/>
          </reference>
        </references>
      </pivotArea>
    </format>
    <format dxfId="519">
      <pivotArea field="0" dataOnly="0" labelOnly="1" grandRow="1" outline="0" axis="axisRow" fieldPosition="0">
        <references count="1">
          <reference field="4294967294" count="1" selected="0">
            <x v="5"/>
          </reference>
        </references>
      </pivotArea>
    </format>
    <format dxfId="518">
      <pivotArea field="0" dataOnly="0" labelOnly="1" grandRow="1" outline="0" axis="axisRow" fieldPosition="0">
        <references count="1">
          <reference field="4294967294" count="1" selected="0">
            <x v="7"/>
          </reference>
        </references>
      </pivotArea>
    </format>
    <format dxfId="517">
      <pivotArea field="0" dataOnly="0" labelOnly="1" grandRow="1" outline="0" axis="axisRow" fieldPosition="0">
        <references count="1">
          <reference field="4294967294" count="1" selected="0">
            <x v="8"/>
          </reference>
        </references>
      </pivotArea>
    </format>
    <format dxfId="516">
      <pivotArea field="0" dataOnly="0" labelOnly="1" grandRow="1" outline="0" axis="axisRow" fieldPosition="0">
        <references count="1">
          <reference field="4294967294" count="1" selected="0">
            <x v="1"/>
          </reference>
        </references>
      </pivotArea>
    </format>
    <format dxfId="515">
      <pivotArea field="0" dataOnly="0" labelOnly="1" grandRow="1" outline="0" axis="axisRow" fieldPosition="0">
        <references count="1">
          <reference field="4294967294" count="1" selected="0">
            <x v="2"/>
          </reference>
        </references>
      </pivotArea>
    </format>
    <format dxfId="514">
      <pivotArea field="0" dataOnly="0" labelOnly="1" grandRow="1" outline="0" axis="axisRow" fieldPosition="0">
        <references count="1">
          <reference field="4294967294" count="1" selected="0">
            <x v="3"/>
          </reference>
        </references>
      </pivotArea>
    </format>
    <format dxfId="513">
      <pivotArea field="0" dataOnly="0" labelOnly="1" grandRow="1" outline="0" axis="axisRow" fieldPosition="0">
        <references count="1">
          <reference field="4294967294" count="1" selected="0">
            <x v="4"/>
          </reference>
        </references>
      </pivotArea>
    </format>
    <format dxfId="512">
      <pivotArea field="0" dataOnly="0" labelOnly="1" grandRow="1" outline="0" axis="axisRow" fieldPosition="0">
        <references count="1">
          <reference field="4294967294" count="1" selected="0">
            <x v="5"/>
          </reference>
        </references>
      </pivotArea>
    </format>
    <format dxfId="511">
      <pivotArea field="0" dataOnly="0" labelOnly="1" grandRow="1" outline="0" axis="axisRow" fieldPosition="0">
        <references count="1">
          <reference field="4294967294" count="1" selected="0">
            <x v="7"/>
          </reference>
        </references>
      </pivotArea>
    </format>
    <format dxfId="510">
      <pivotArea field="0" dataOnly="0" labelOnly="1" grandRow="1" outline="0" axis="axisRow" fieldPosition="0">
        <references count="1">
          <reference field="4294967294" count="1" selected="0">
            <x v="8"/>
          </reference>
        </references>
      </pivotArea>
    </format>
    <format dxfId="509">
      <pivotArea field="0" dataOnly="0" labelOnly="1" grandRow="1" outline="0" axis="axisRow" fieldPosition="0">
        <references count="1">
          <reference field="4294967294" count="1" selected="0">
            <x v="1"/>
          </reference>
        </references>
      </pivotArea>
    </format>
    <format dxfId="508">
      <pivotArea field="0" dataOnly="0" labelOnly="1" grandRow="1" outline="0" axis="axisRow" fieldPosition="0">
        <references count="1">
          <reference field="4294967294" count="1" selected="0">
            <x v="2"/>
          </reference>
        </references>
      </pivotArea>
    </format>
    <format dxfId="507">
      <pivotArea field="0" dataOnly="0" labelOnly="1" grandRow="1" outline="0" axis="axisRow" fieldPosition="0">
        <references count="1">
          <reference field="4294967294" count="1" selected="0">
            <x v="3"/>
          </reference>
        </references>
      </pivotArea>
    </format>
    <format dxfId="506">
      <pivotArea field="0" dataOnly="0" labelOnly="1" grandRow="1" outline="0" axis="axisRow" fieldPosition="0">
        <references count="1">
          <reference field="4294967294" count="1" selected="0">
            <x v="4"/>
          </reference>
        </references>
      </pivotArea>
    </format>
    <format dxfId="505">
      <pivotArea field="0" dataOnly="0" labelOnly="1" grandRow="1" outline="0" axis="axisRow" fieldPosition="0">
        <references count="1">
          <reference field="4294967294" count="1" selected="0">
            <x v="5"/>
          </reference>
        </references>
      </pivotArea>
    </format>
    <format dxfId="504">
      <pivotArea field="0" dataOnly="0" labelOnly="1" grandRow="1" outline="0" axis="axisRow" fieldPosition="0">
        <references count="1">
          <reference field="4294967294" count="1" selected="0">
            <x v="7"/>
          </reference>
        </references>
      </pivotArea>
    </format>
    <format dxfId="503">
      <pivotArea field="0" dataOnly="0" labelOnly="1" grandRow="1" outline="0" axis="axisRow" fieldPosition="0">
        <references count="1">
          <reference field="4294967294" count="1" selected="0">
            <x v="8"/>
          </reference>
        </references>
      </pivotArea>
    </format>
    <format dxfId="502">
      <pivotArea field="0" dataOnly="0" labelOnly="1" grandRow="1" outline="0" axis="axisRow" fieldPosition="0">
        <references count="1">
          <reference field="4294967294" count="1" selected="0">
            <x v="1"/>
          </reference>
        </references>
      </pivotArea>
    </format>
    <format dxfId="501">
      <pivotArea field="0" dataOnly="0" labelOnly="1" grandRow="1" outline="0" axis="axisRow" fieldPosition="0">
        <references count="1">
          <reference field="4294967294" count="1" selected="0">
            <x v="2"/>
          </reference>
        </references>
      </pivotArea>
    </format>
    <format dxfId="500">
      <pivotArea field="0" dataOnly="0" labelOnly="1" grandRow="1" outline="0" axis="axisRow" fieldPosition="0">
        <references count="1">
          <reference field="4294967294" count="1" selected="0">
            <x v="3"/>
          </reference>
        </references>
      </pivotArea>
    </format>
    <format dxfId="499">
      <pivotArea field="0" dataOnly="0" labelOnly="1" grandRow="1" outline="0" axis="axisRow" fieldPosition="0">
        <references count="1">
          <reference field="4294967294" count="1" selected="0">
            <x v="4"/>
          </reference>
        </references>
      </pivotArea>
    </format>
    <format dxfId="498">
      <pivotArea field="0" dataOnly="0" labelOnly="1" grandRow="1" outline="0" axis="axisRow" fieldPosition="0">
        <references count="1">
          <reference field="4294967294" count="1" selected="0">
            <x v="5"/>
          </reference>
        </references>
      </pivotArea>
    </format>
    <format dxfId="497">
      <pivotArea field="0" dataOnly="0" labelOnly="1" grandRow="1" outline="0" axis="axisRow" fieldPosition="0">
        <references count="1">
          <reference field="4294967294" count="1" selected="0">
            <x v="7"/>
          </reference>
        </references>
      </pivotArea>
    </format>
    <format dxfId="496">
      <pivotArea field="0" dataOnly="0" labelOnly="1" grandRow="1" outline="0" axis="axisRow" fieldPosition="0">
        <references count="1">
          <reference field="4294967294" count="1" selected="0">
            <x v="8"/>
          </reference>
        </references>
      </pivotArea>
    </format>
    <format dxfId="495">
      <pivotArea field="0" dataOnly="0" labelOnly="1" grandRow="1" outline="0" axis="axisRow" fieldPosition="0">
        <references count="1">
          <reference field="4294967294" count="1" selected="0">
            <x v="1"/>
          </reference>
        </references>
      </pivotArea>
    </format>
    <format dxfId="494">
      <pivotArea field="0" dataOnly="0" labelOnly="1" grandRow="1" outline="0" axis="axisRow" fieldPosition="0">
        <references count="1">
          <reference field="4294967294" count="1" selected="0">
            <x v="2"/>
          </reference>
        </references>
      </pivotArea>
    </format>
    <format dxfId="493">
      <pivotArea field="0" dataOnly="0" labelOnly="1" grandRow="1" outline="0" axis="axisRow" fieldPosition="0">
        <references count="1">
          <reference field="4294967294" count="1" selected="0">
            <x v="3"/>
          </reference>
        </references>
      </pivotArea>
    </format>
    <format dxfId="492">
      <pivotArea field="0" dataOnly="0" labelOnly="1" grandRow="1" outline="0" axis="axisRow" fieldPosition="0">
        <references count="1">
          <reference field="4294967294" count="1" selected="0">
            <x v="4"/>
          </reference>
        </references>
      </pivotArea>
    </format>
    <format dxfId="491">
      <pivotArea field="0" dataOnly="0" labelOnly="1" grandRow="1" outline="0" axis="axisRow" fieldPosition="0">
        <references count="1">
          <reference field="4294967294" count="1" selected="0">
            <x v="5"/>
          </reference>
        </references>
      </pivotArea>
    </format>
    <format dxfId="490">
      <pivotArea field="0" dataOnly="0" labelOnly="1" grandRow="1" outline="0" axis="axisRow" fieldPosition="0">
        <references count="1">
          <reference field="4294967294" count="1" selected="0">
            <x v="7"/>
          </reference>
        </references>
      </pivotArea>
    </format>
    <format dxfId="489">
      <pivotArea field="0" dataOnly="0" labelOnly="1" grandRow="1" outline="0" axis="axisRow" fieldPosition="0">
        <references count="1">
          <reference field="4294967294" count="1" selected="0">
            <x v="8"/>
          </reference>
        </references>
      </pivotArea>
    </format>
    <format dxfId="488">
      <pivotArea field="0" dataOnly="0" labelOnly="1" grandRow="1" outline="0" axis="axisRow" fieldPosition="0">
        <references count="1">
          <reference field="4294967294" count="1" selected="0">
            <x v="1"/>
          </reference>
        </references>
      </pivotArea>
    </format>
    <format dxfId="487">
      <pivotArea field="0" dataOnly="0" labelOnly="1" grandRow="1" outline="0" axis="axisRow" fieldPosition="0">
        <references count="1">
          <reference field="4294967294" count="1" selected="0">
            <x v="2"/>
          </reference>
        </references>
      </pivotArea>
    </format>
    <format dxfId="486">
      <pivotArea field="0" dataOnly="0" labelOnly="1" grandRow="1" outline="0" axis="axisRow" fieldPosition="0">
        <references count="1">
          <reference field="4294967294" count="1" selected="0">
            <x v="3"/>
          </reference>
        </references>
      </pivotArea>
    </format>
    <format dxfId="485">
      <pivotArea field="0" dataOnly="0" labelOnly="1" grandRow="1" outline="0" axis="axisRow" fieldPosition="0">
        <references count="1">
          <reference field="4294967294" count="1" selected="0">
            <x v="4"/>
          </reference>
        </references>
      </pivotArea>
    </format>
    <format dxfId="484">
      <pivotArea field="0" dataOnly="0" labelOnly="1" grandRow="1" outline="0" axis="axisRow" fieldPosition="0">
        <references count="1">
          <reference field="4294967294" count="1" selected="0">
            <x v="5"/>
          </reference>
        </references>
      </pivotArea>
    </format>
    <format dxfId="483">
      <pivotArea field="0" dataOnly="0" labelOnly="1" grandRow="1" outline="0" axis="axisRow" fieldPosition="0">
        <references count="1">
          <reference field="4294967294" count="1" selected="0">
            <x v="7"/>
          </reference>
        </references>
      </pivotArea>
    </format>
    <format dxfId="482">
      <pivotArea field="0" dataOnly="0" labelOnly="1" grandRow="1" outline="0" axis="axisRow" fieldPosition="0">
        <references count="1">
          <reference field="4294967294" count="1" selected="0">
            <x v="8"/>
          </reference>
        </references>
      </pivotArea>
    </format>
    <format dxfId="481">
      <pivotArea field="0" dataOnly="0" labelOnly="1" grandRow="1" outline="0" axis="axisRow" fieldPosition="0">
        <references count="1">
          <reference field="4294967294" count="1" selected="0">
            <x v="1"/>
          </reference>
        </references>
      </pivotArea>
    </format>
    <format dxfId="480">
      <pivotArea field="0" dataOnly="0" labelOnly="1" grandRow="1" outline="0" axis="axisRow" fieldPosition="0">
        <references count="1">
          <reference field="4294967294" count="1" selected="0">
            <x v="2"/>
          </reference>
        </references>
      </pivotArea>
    </format>
    <format dxfId="479">
      <pivotArea field="0" dataOnly="0" labelOnly="1" grandRow="1" outline="0" axis="axisRow" fieldPosition="0">
        <references count="1">
          <reference field="4294967294" count="1" selected="0">
            <x v="3"/>
          </reference>
        </references>
      </pivotArea>
    </format>
    <format dxfId="478">
      <pivotArea field="0" dataOnly="0" labelOnly="1" grandRow="1" outline="0" axis="axisRow" fieldPosition="0">
        <references count="1">
          <reference field="4294967294" count="1" selected="0">
            <x v="4"/>
          </reference>
        </references>
      </pivotArea>
    </format>
    <format dxfId="477">
      <pivotArea field="0" dataOnly="0" labelOnly="1" grandRow="1" outline="0" axis="axisRow" fieldPosition="0">
        <references count="1">
          <reference field="4294967294" count="1" selected="0">
            <x v="5"/>
          </reference>
        </references>
      </pivotArea>
    </format>
    <format dxfId="476">
      <pivotArea field="0" dataOnly="0" labelOnly="1" grandRow="1" outline="0" axis="axisRow" fieldPosition="0">
        <references count="1">
          <reference field="4294967294" count="1" selected="0">
            <x v="7"/>
          </reference>
        </references>
      </pivotArea>
    </format>
    <format dxfId="475">
      <pivotArea field="0" dataOnly="0" labelOnly="1" grandRow="1" outline="0" axis="axisRow" fieldPosition="0">
        <references count="1">
          <reference field="4294967294" count="1" selected="0">
            <x v="8"/>
          </reference>
        </references>
      </pivotArea>
    </format>
    <format dxfId="474">
      <pivotArea field="0" dataOnly="0" labelOnly="1" grandRow="1" outline="0" axis="axisRow" fieldPosition="0">
        <references count="1">
          <reference field="4294967294" count="1" selected="0">
            <x v="1"/>
          </reference>
        </references>
      </pivotArea>
    </format>
    <format dxfId="473">
      <pivotArea field="0" dataOnly="0" labelOnly="1" grandRow="1" outline="0" axis="axisRow" fieldPosition="0">
        <references count="1">
          <reference field="4294967294" count="1" selected="0">
            <x v="2"/>
          </reference>
        </references>
      </pivotArea>
    </format>
    <format dxfId="472">
      <pivotArea field="0" dataOnly="0" labelOnly="1" grandRow="1" outline="0" axis="axisRow" fieldPosition="0">
        <references count="1">
          <reference field="4294967294" count="1" selected="0">
            <x v="3"/>
          </reference>
        </references>
      </pivotArea>
    </format>
    <format dxfId="471">
      <pivotArea field="0" dataOnly="0" labelOnly="1" grandRow="1" outline="0" axis="axisRow" fieldPosition="0">
        <references count="1">
          <reference field="4294967294" count="1" selected="0">
            <x v="4"/>
          </reference>
        </references>
      </pivotArea>
    </format>
    <format dxfId="470">
      <pivotArea field="0" dataOnly="0" labelOnly="1" grandRow="1" outline="0" axis="axisRow" fieldPosition="0">
        <references count="1">
          <reference field="4294967294" count="1" selected="0">
            <x v="5"/>
          </reference>
        </references>
      </pivotArea>
    </format>
    <format dxfId="469">
      <pivotArea field="0" dataOnly="0" labelOnly="1" grandRow="1" outline="0" axis="axisRow" fieldPosition="0">
        <references count="1">
          <reference field="4294967294" count="1" selected="0">
            <x v="7"/>
          </reference>
        </references>
      </pivotArea>
    </format>
    <format dxfId="468">
      <pivotArea field="0" dataOnly="0" labelOnly="1" grandRow="1" outline="0" axis="axisRow" fieldPosition="0">
        <references count="1">
          <reference field="4294967294" count="1" selected="0">
            <x v="8"/>
          </reference>
        </references>
      </pivotArea>
    </format>
    <format dxfId="467">
      <pivotArea dataOnly="0" labelOnly="1" outline="0" fieldPosition="0">
        <references count="2">
          <reference field="4294967294" count="7">
            <x v="1"/>
            <x v="2"/>
            <x v="3"/>
            <x v="4"/>
            <x v="5"/>
            <x v="7"/>
            <x v="8"/>
          </reference>
          <reference field="0" count="1" selected="0">
            <x v="1"/>
          </reference>
        </references>
      </pivotArea>
    </format>
    <format dxfId="466">
      <pivotArea dataOnly="0" labelOnly="1" grandCol="1" outline="0" fieldPosition="0"/>
    </format>
    <format dxfId="465">
      <pivotArea field="0" type="button" dataOnly="0" labelOnly="1" outline="0" axis="axisRow" fieldPosition="0"/>
    </format>
    <format dxfId="464">
      <pivotArea field="5" type="button" dataOnly="0" labelOnly="1" outline="0" axis="axisPage" fieldPosition="0"/>
    </format>
    <format dxfId="463">
      <pivotArea dataOnly="0" labelOnly="1" grandCol="1" outline="0" fieldPosition="0"/>
    </format>
    <format dxfId="462">
      <pivotArea dataOnly="0" labelOnly="1" grandCol="1" outline="0" fieldPosition="0"/>
    </format>
    <format dxfId="461">
      <pivotArea field="-2" type="button" dataOnly="0" labelOnly="1" outline="0" axis="axisRow" fieldPosition="1"/>
    </format>
    <format dxfId="460">
      <pivotArea type="all" dataOnly="0" outline="0" fieldPosition="0"/>
    </format>
    <format dxfId="459">
      <pivotArea outline="0" collapsedLevelsAreSubtotals="1" fieldPosition="0"/>
    </format>
    <format dxfId="458">
      <pivotArea type="origin" dataOnly="0" labelOnly="1" outline="0" fieldPosition="0"/>
    </format>
    <format dxfId="457">
      <pivotArea field="32" type="button" dataOnly="0" labelOnly="1" outline="0" axis="axisCol" fieldPosition="1"/>
    </format>
    <format dxfId="456">
      <pivotArea type="topRight" dataOnly="0" labelOnly="1" outline="0" fieldPosition="0"/>
    </format>
    <format dxfId="455">
      <pivotArea field="0" type="button" dataOnly="0" labelOnly="1" outline="0" axis="axisRow" fieldPosition="0"/>
    </format>
    <format dxfId="454">
      <pivotArea field="-2" type="button" dataOnly="0" labelOnly="1" outline="0" axis="axisRow" fieldPosition="1"/>
    </format>
    <format dxfId="453">
      <pivotArea dataOnly="0" labelOnly="1" fieldPosition="0">
        <references count="1">
          <reference field="0" count="1">
            <x v="1"/>
          </reference>
        </references>
      </pivotArea>
    </format>
    <format dxfId="452">
      <pivotArea field="0" dataOnly="0" labelOnly="1" grandRow="1" outline="0" axis="axisRow" fieldPosition="0">
        <references count="1">
          <reference field="4294967294" count="1" selected="0">
            <x v="1"/>
          </reference>
        </references>
      </pivotArea>
    </format>
    <format dxfId="451">
      <pivotArea field="0" dataOnly="0" labelOnly="1" grandRow="1" outline="0" axis="axisRow" fieldPosition="0">
        <references count="1">
          <reference field="4294967294" count="1" selected="0">
            <x v="2"/>
          </reference>
        </references>
      </pivotArea>
    </format>
    <format dxfId="450">
      <pivotArea field="0" dataOnly="0" labelOnly="1" grandRow="1" outline="0" axis="axisRow" fieldPosition="0">
        <references count="1">
          <reference field="4294967294" count="1" selected="0">
            <x v="3"/>
          </reference>
        </references>
      </pivotArea>
    </format>
    <format dxfId="449">
      <pivotArea field="0" dataOnly="0" labelOnly="1" grandRow="1" outline="0" axis="axisRow" fieldPosition="0">
        <references count="1">
          <reference field="4294967294" count="1" selected="0">
            <x v="4"/>
          </reference>
        </references>
      </pivotArea>
    </format>
    <format dxfId="448">
      <pivotArea field="0" dataOnly="0" labelOnly="1" grandRow="1" outline="0" axis="axisRow" fieldPosition="0">
        <references count="1">
          <reference field="4294967294" count="1" selected="0">
            <x v="5"/>
          </reference>
        </references>
      </pivotArea>
    </format>
    <format dxfId="447">
      <pivotArea field="0" dataOnly="0" labelOnly="1" grandRow="1" outline="0" axis="axisRow" fieldPosition="0">
        <references count="1">
          <reference field="4294967294" count="1" selected="0">
            <x v="7"/>
          </reference>
        </references>
      </pivotArea>
    </format>
    <format dxfId="446">
      <pivotArea field="0" dataOnly="0" labelOnly="1" grandRow="1" outline="0" axis="axisRow" fieldPosition="0">
        <references count="1">
          <reference field="4294967294" count="1" selected="0">
            <x v="8"/>
          </reference>
        </references>
      </pivotArea>
    </format>
    <format dxfId="445">
      <pivotArea field="0" dataOnly="0" labelOnly="1" grandRow="1" outline="0" axis="axisRow" fieldPosition="0">
        <references count="1">
          <reference field="4294967294" count="1" selected="0">
            <x v="1"/>
          </reference>
        </references>
      </pivotArea>
    </format>
    <format dxfId="444">
      <pivotArea field="0" dataOnly="0" labelOnly="1" grandRow="1" outline="0" axis="axisRow" fieldPosition="0">
        <references count="1">
          <reference field="4294967294" count="1" selected="0">
            <x v="2"/>
          </reference>
        </references>
      </pivotArea>
    </format>
    <format dxfId="443">
      <pivotArea field="0" dataOnly="0" labelOnly="1" grandRow="1" outline="0" axis="axisRow" fieldPosition="0">
        <references count="1">
          <reference field="4294967294" count="1" selected="0">
            <x v="3"/>
          </reference>
        </references>
      </pivotArea>
    </format>
    <format dxfId="442">
      <pivotArea field="0" dataOnly="0" labelOnly="1" grandRow="1" outline="0" axis="axisRow" fieldPosition="0">
        <references count="1">
          <reference field="4294967294" count="1" selected="0">
            <x v="4"/>
          </reference>
        </references>
      </pivotArea>
    </format>
    <format dxfId="441">
      <pivotArea field="0" dataOnly="0" labelOnly="1" grandRow="1" outline="0" axis="axisRow" fieldPosition="0">
        <references count="1">
          <reference field="4294967294" count="1" selected="0">
            <x v="5"/>
          </reference>
        </references>
      </pivotArea>
    </format>
    <format dxfId="440">
      <pivotArea field="0" dataOnly="0" labelOnly="1" grandRow="1" outline="0" axis="axisRow" fieldPosition="0">
        <references count="1">
          <reference field="4294967294" count="1" selected="0">
            <x v="7"/>
          </reference>
        </references>
      </pivotArea>
    </format>
    <format dxfId="439">
      <pivotArea field="0" dataOnly="0" labelOnly="1" grandRow="1" outline="0" axis="axisRow" fieldPosition="0">
        <references count="1">
          <reference field="4294967294" count="1" selected="0">
            <x v="8"/>
          </reference>
        </references>
      </pivotArea>
    </format>
    <format dxfId="438">
      <pivotArea field="0" dataOnly="0" labelOnly="1" grandRow="1" outline="0" axis="axisRow" fieldPosition="0">
        <references count="1">
          <reference field="4294967294" count="1" selected="0">
            <x v="1"/>
          </reference>
        </references>
      </pivotArea>
    </format>
    <format dxfId="437">
      <pivotArea field="0" dataOnly="0" labelOnly="1" grandRow="1" outline="0" axis="axisRow" fieldPosition="0">
        <references count="1">
          <reference field="4294967294" count="1" selected="0">
            <x v="2"/>
          </reference>
        </references>
      </pivotArea>
    </format>
    <format dxfId="436">
      <pivotArea field="0" dataOnly="0" labelOnly="1" grandRow="1" outline="0" axis="axisRow" fieldPosition="0">
        <references count="1">
          <reference field="4294967294" count="1" selected="0">
            <x v="3"/>
          </reference>
        </references>
      </pivotArea>
    </format>
    <format dxfId="435">
      <pivotArea field="0" dataOnly="0" labelOnly="1" grandRow="1" outline="0" axis="axisRow" fieldPosition="0">
        <references count="1">
          <reference field="4294967294" count="1" selected="0">
            <x v="4"/>
          </reference>
        </references>
      </pivotArea>
    </format>
    <format dxfId="434">
      <pivotArea field="0" dataOnly="0" labelOnly="1" grandRow="1" outline="0" axis="axisRow" fieldPosition="0">
        <references count="1">
          <reference field="4294967294" count="1" selected="0">
            <x v="5"/>
          </reference>
        </references>
      </pivotArea>
    </format>
    <format dxfId="433">
      <pivotArea field="0" dataOnly="0" labelOnly="1" grandRow="1" outline="0" axis="axisRow" fieldPosition="0">
        <references count="1">
          <reference field="4294967294" count="1" selected="0">
            <x v="7"/>
          </reference>
        </references>
      </pivotArea>
    </format>
    <format dxfId="432">
      <pivotArea field="0" dataOnly="0" labelOnly="1" grandRow="1" outline="0" axis="axisRow" fieldPosition="0">
        <references count="1">
          <reference field="4294967294" count="1" selected="0">
            <x v="8"/>
          </reference>
        </references>
      </pivotArea>
    </format>
    <format dxfId="431">
      <pivotArea field="0" dataOnly="0" labelOnly="1" grandRow="1" outline="0" axis="axisRow" fieldPosition="0">
        <references count="1">
          <reference field="4294967294" count="1" selected="0">
            <x v="1"/>
          </reference>
        </references>
      </pivotArea>
    </format>
    <format dxfId="430">
      <pivotArea field="0" dataOnly="0" labelOnly="1" grandRow="1" outline="0" axis="axisRow" fieldPosition="0">
        <references count="1">
          <reference field="4294967294" count="1" selected="0">
            <x v="2"/>
          </reference>
        </references>
      </pivotArea>
    </format>
    <format dxfId="429">
      <pivotArea field="0" dataOnly="0" labelOnly="1" grandRow="1" outline="0" axis="axisRow" fieldPosition="0">
        <references count="1">
          <reference field="4294967294" count="1" selected="0">
            <x v="3"/>
          </reference>
        </references>
      </pivotArea>
    </format>
    <format dxfId="428">
      <pivotArea field="0" dataOnly="0" labelOnly="1" grandRow="1" outline="0" axis="axisRow" fieldPosition="0">
        <references count="1">
          <reference field="4294967294" count="1" selected="0">
            <x v="4"/>
          </reference>
        </references>
      </pivotArea>
    </format>
    <format dxfId="427">
      <pivotArea field="0" dataOnly="0" labelOnly="1" grandRow="1" outline="0" axis="axisRow" fieldPosition="0">
        <references count="1">
          <reference field="4294967294" count="1" selected="0">
            <x v="5"/>
          </reference>
        </references>
      </pivotArea>
    </format>
    <format dxfId="426">
      <pivotArea field="0" dataOnly="0" labelOnly="1" grandRow="1" outline="0" axis="axisRow" fieldPosition="0">
        <references count="1">
          <reference field="4294967294" count="1" selected="0">
            <x v="7"/>
          </reference>
        </references>
      </pivotArea>
    </format>
    <format dxfId="425">
      <pivotArea field="0" dataOnly="0" labelOnly="1" grandRow="1" outline="0" axis="axisRow" fieldPosition="0">
        <references count="1">
          <reference field="4294967294" count="1" selected="0">
            <x v="8"/>
          </reference>
        </references>
      </pivotArea>
    </format>
    <format dxfId="424">
      <pivotArea field="0" dataOnly="0" labelOnly="1" grandRow="1" outline="0" axis="axisRow" fieldPosition="0">
        <references count="1">
          <reference field="4294967294" count="1" selected="0">
            <x v="1"/>
          </reference>
        </references>
      </pivotArea>
    </format>
    <format dxfId="423">
      <pivotArea field="0" dataOnly="0" labelOnly="1" grandRow="1" outline="0" axis="axisRow" fieldPosition="0">
        <references count="1">
          <reference field="4294967294" count="1" selected="0">
            <x v="2"/>
          </reference>
        </references>
      </pivotArea>
    </format>
    <format dxfId="422">
      <pivotArea field="0" dataOnly="0" labelOnly="1" grandRow="1" outline="0" axis="axisRow" fieldPosition="0">
        <references count="1">
          <reference field="4294967294" count="1" selected="0">
            <x v="3"/>
          </reference>
        </references>
      </pivotArea>
    </format>
    <format dxfId="421">
      <pivotArea field="0" dataOnly="0" labelOnly="1" grandRow="1" outline="0" axis="axisRow" fieldPosition="0">
        <references count="1">
          <reference field="4294967294" count="1" selected="0">
            <x v="4"/>
          </reference>
        </references>
      </pivotArea>
    </format>
    <format dxfId="420">
      <pivotArea field="0" dataOnly="0" labelOnly="1" grandRow="1" outline="0" axis="axisRow" fieldPosition="0">
        <references count="1">
          <reference field="4294967294" count="1" selected="0">
            <x v="5"/>
          </reference>
        </references>
      </pivotArea>
    </format>
    <format dxfId="419">
      <pivotArea field="0" dataOnly="0" labelOnly="1" grandRow="1" outline="0" axis="axisRow" fieldPosition="0">
        <references count="1">
          <reference field="4294967294" count="1" selected="0">
            <x v="7"/>
          </reference>
        </references>
      </pivotArea>
    </format>
    <format dxfId="418">
      <pivotArea field="0" dataOnly="0" labelOnly="1" grandRow="1" outline="0" axis="axisRow" fieldPosition="0">
        <references count="1">
          <reference field="4294967294" count="1" selected="0">
            <x v="8"/>
          </reference>
        </references>
      </pivotArea>
    </format>
    <format dxfId="417">
      <pivotArea field="0" dataOnly="0" labelOnly="1" grandRow="1" outline="0" axis="axisRow" fieldPosition="0">
        <references count="1">
          <reference field="4294967294" count="1" selected="0">
            <x v="1"/>
          </reference>
        </references>
      </pivotArea>
    </format>
    <format dxfId="416">
      <pivotArea field="0" dataOnly="0" labelOnly="1" grandRow="1" outline="0" axis="axisRow" fieldPosition="0">
        <references count="1">
          <reference field="4294967294" count="1" selected="0">
            <x v="2"/>
          </reference>
        </references>
      </pivotArea>
    </format>
    <format dxfId="415">
      <pivotArea field="0" dataOnly="0" labelOnly="1" grandRow="1" outline="0" axis="axisRow" fieldPosition="0">
        <references count="1">
          <reference field="4294967294" count="1" selected="0">
            <x v="3"/>
          </reference>
        </references>
      </pivotArea>
    </format>
    <format dxfId="414">
      <pivotArea field="0" dataOnly="0" labelOnly="1" grandRow="1" outline="0" axis="axisRow" fieldPosition="0">
        <references count="1">
          <reference field="4294967294" count="1" selected="0">
            <x v="4"/>
          </reference>
        </references>
      </pivotArea>
    </format>
    <format dxfId="413">
      <pivotArea field="0" dataOnly="0" labelOnly="1" grandRow="1" outline="0" axis="axisRow" fieldPosition="0">
        <references count="1">
          <reference field="4294967294" count="1" selected="0">
            <x v="5"/>
          </reference>
        </references>
      </pivotArea>
    </format>
    <format dxfId="412">
      <pivotArea field="0" dataOnly="0" labelOnly="1" grandRow="1" outline="0" axis="axisRow" fieldPosition="0">
        <references count="1">
          <reference field="4294967294" count="1" selected="0">
            <x v="7"/>
          </reference>
        </references>
      </pivotArea>
    </format>
    <format dxfId="411">
      <pivotArea field="0" dataOnly="0" labelOnly="1" grandRow="1" outline="0" axis="axisRow" fieldPosition="0">
        <references count="1">
          <reference field="4294967294" count="1" selected="0">
            <x v="8"/>
          </reference>
        </references>
      </pivotArea>
    </format>
    <format dxfId="410">
      <pivotArea field="0" dataOnly="0" labelOnly="1" grandRow="1" outline="0" axis="axisRow" fieldPosition="0">
        <references count="1">
          <reference field="4294967294" count="1" selected="0">
            <x v="1"/>
          </reference>
        </references>
      </pivotArea>
    </format>
    <format dxfId="409">
      <pivotArea field="0" dataOnly="0" labelOnly="1" grandRow="1" outline="0" axis="axisRow" fieldPosition="0">
        <references count="1">
          <reference field="4294967294" count="1" selected="0">
            <x v="2"/>
          </reference>
        </references>
      </pivotArea>
    </format>
    <format dxfId="408">
      <pivotArea field="0" dataOnly="0" labelOnly="1" grandRow="1" outline="0" axis="axisRow" fieldPosition="0">
        <references count="1">
          <reference field="4294967294" count="1" selected="0">
            <x v="3"/>
          </reference>
        </references>
      </pivotArea>
    </format>
    <format dxfId="407">
      <pivotArea field="0" dataOnly="0" labelOnly="1" grandRow="1" outline="0" axis="axisRow" fieldPosition="0">
        <references count="1">
          <reference field="4294967294" count="1" selected="0">
            <x v="4"/>
          </reference>
        </references>
      </pivotArea>
    </format>
    <format dxfId="406">
      <pivotArea field="0" dataOnly="0" labelOnly="1" grandRow="1" outline="0" axis="axisRow" fieldPosition="0">
        <references count="1">
          <reference field="4294967294" count="1" selected="0">
            <x v="5"/>
          </reference>
        </references>
      </pivotArea>
    </format>
    <format dxfId="405">
      <pivotArea field="0" dataOnly="0" labelOnly="1" grandRow="1" outline="0" axis="axisRow" fieldPosition="0">
        <references count="1">
          <reference field="4294967294" count="1" selected="0">
            <x v="7"/>
          </reference>
        </references>
      </pivotArea>
    </format>
    <format dxfId="404">
      <pivotArea field="0" dataOnly="0" labelOnly="1" grandRow="1" outline="0" axis="axisRow" fieldPosition="0">
        <references count="1">
          <reference field="4294967294" count="1" selected="0">
            <x v="8"/>
          </reference>
        </references>
      </pivotArea>
    </format>
    <format dxfId="403">
      <pivotArea field="0" dataOnly="0" labelOnly="1" grandRow="1" outline="0" axis="axisRow" fieldPosition="0">
        <references count="1">
          <reference field="4294967294" count="1" selected="0">
            <x v="1"/>
          </reference>
        </references>
      </pivotArea>
    </format>
    <format dxfId="402">
      <pivotArea field="0" dataOnly="0" labelOnly="1" grandRow="1" outline="0" axis="axisRow" fieldPosition="0">
        <references count="1">
          <reference field="4294967294" count="1" selected="0">
            <x v="2"/>
          </reference>
        </references>
      </pivotArea>
    </format>
    <format dxfId="401">
      <pivotArea field="0" dataOnly="0" labelOnly="1" grandRow="1" outline="0" axis="axisRow" fieldPosition="0">
        <references count="1">
          <reference field="4294967294" count="1" selected="0">
            <x v="3"/>
          </reference>
        </references>
      </pivotArea>
    </format>
    <format dxfId="400">
      <pivotArea field="0" dataOnly="0" labelOnly="1" grandRow="1" outline="0" axis="axisRow" fieldPosition="0">
        <references count="1">
          <reference field="4294967294" count="1" selected="0">
            <x v="4"/>
          </reference>
        </references>
      </pivotArea>
    </format>
    <format dxfId="399">
      <pivotArea field="0" dataOnly="0" labelOnly="1" grandRow="1" outline="0" axis="axisRow" fieldPosition="0">
        <references count="1">
          <reference field="4294967294" count="1" selected="0">
            <x v="5"/>
          </reference>
        </references>
      </pivotArea>
    </format>
    <format dxfId="398">
      <pivotArea field="0" dataOnly="0" labelOnly="1" grandRow="1" outline="0" axis="axisRow" fieldPosition="0">
        <references count="1">
          <reference field="4294967294" count="1" selected="0">
            <x v="7"/>
          </reference>
        </references>
      </pivotArea>
    </format>
    <format dxfId="397">
      <pivotArea field="0" dataOnly="0" labelOnly="1" grandRow="1" outline="0" axis="axisRow" fieldPosition="0">
        <references count="1">
          <reference field="4294967294" count="1" selected="0">
            <x v="8"/>
          </reference>
        </references>
      </pivotArea>
    </format>
    <format dxfId="396">
      <pivotArea field="0" dataOnly="0" labelOnly="1" grandRow="1" outline="0" axis="axisRow" fieldPosition="0">
        <references count="1">
          <reference field="4294967294" count="1" selected="0">
            <x v="1"/>
          </reference>
        </references>
      </pivotArea>
    </format>
    <format dxfId="395">
      <pivotArea field="0" dataOnly="0" labelOnly="1" grandRow="1" outline="0" axis="axisRow" fieldPosition="0">
        <references count="1">
          <reference field="4294967294" count="1" selected="0">
            <x v="2"/>
          </reference>
        </references>
      </pivotArea>
    </format>
    <format dxfId="394">
      <pivotArea field="0" dataOnly="0" labelOnly="1" grandRow="1" outline="0" axis="axisRow" fieldPosition="0">
        <references count="1">
          <reference field="4294967294" count="1" selected="0">
            <x v="3"/>
          </reference>
        </references>
      </pivotArea>
    </format>
    <format dxfId="393">
      <pivotArea field="0" dataOnly="0" labelOnly="1" grandRow="1" outline="0" axis="axisRow" fieldPosition="0">
        <references count="1">
          <reference field="4294967294" count="1" selected="0">
            <x v="4"/>
          </reference>
        </references>
      </pivotArea>
    </format>
    <format dxfId="392">
      <pivotArea field="0" dataOnly="0" labelOnly="1" grandRow="1" outline="0" axis="axisRow" fieldPosition="0">
        <references count="1">
          <reference field="4294967294" count="1" selected="0">
            <x v="5"/>
          </reference>
        </references>
      </pivotArea>
    </format>
    <format dxfId="391">
      <pivotArea field="0" dataOnly="0" labelOnly="1" grandRow="1" outline="0" axis="axisRow" fieldPosition="0">
        <references count="1">
          <reference field="4294967294" count="1" selected="0">
            <x v="7"/>
          </reference>
        </references>
      </pivotArea>
    </format>
    <format dxfId="390">
      <pivotArea field="0" dataOnly="0" labelOnly="1" grandRow="1" outline="0" axis="axisRow" fieldPosition="0">
        <references count="1">
          <reference field="4294967294" count="1" selected="0">
            <x v="8"/>
          </reference>
        </references>
      </pivotArea>
    </format>
    <format dxfId="389">
      <pivotArea dataOnly="0" labelOnly="1" outline="0" fieldPosition="0">
        <references count="2">
          <reference field="4294967294" count="7">
            <x v="1"/>
            <x v="2"/>
            <x v="3"/>
            <x v="4"/>
            <x v="5"/>
            <x v="7"/>
            <x v="8"/>
          </reference>
          <reference field="0" count="1" selected="0">
            <x v="1"/>
          </reference>
        </references>
      </pivotArea>
    </format>
    <format dxfId="388">
      <pivotArea dataOnly="0" labelOnly="1" grandCol="1" outline="0" fieldPosition="0"/>
    </format>
    <format dxfId="387">
      <pivotArea dataOnly="0" labelOnly="1" grandCol="1" outline="0" fieldPosition="0"/>
    </format>
    <format dxfId="386">
      <pivotArea dataOnly="0" labelOnly="1" grandCol="1" outline="0" fieldPosition="0"/>
    </format>
    <format dxfId="385">
      <pivotArea dataOnly="0" labelOnly="1" grandCol="1" outline="0" fieldPosition="0"/>
    </format>
    <format dxfId="384">
      <pivotArea dataOnly="0" labelOnly="1" grandCol="1" outline="0" fieldPosition="0"/>
    </format>
    <format dxfId="383">
      <pivotArea type="all" dataOnly="0" outline="0" fieldPosition="0"/>
    </format>
    <format dxfId="382">
      <pivotArea outline="0" collapsedLevelsAreSubtotals="1" fieldPosition="0"/>
    </format>
    <format dxfId="381">
      <pivotArea type="origin" dataOnly="0" labelOnly="1" outline="0" fieldPosition="0"/>
    </format>
    <format dxfId="380">
      <pivotArea field="32" type="button" dataOnly="0" labelOnly="1" outline="0" axis="axisCol" fieldPosition="1"/>
    </format>
    <format dxfId="379">
      <pivotArea type="topRight" dataOnly="0" labelOnly="1" outline="0" fieldPosition="0"/>
    </format>
    <format dxfId="378">
      <pivotArea field="0" type="button" dataOnly="0" labelOnly="1" outline="0" axis="axisRow" fieldPosition="0"/>
    </format>
    <format dxfId="377">
      <pivotArea field="-2" type="button" dataOnly="0" labelOnly="1" outline="0" axis="axisRow" fieldPosition="1"/>
    </format>
    <format dxfId="376">
      <pivotArea dataOnly="0" labelOnly="1" fieldPosition="0">
        <references count="1">
          <reference field="0" count="3">
            <x v="1"/>
            <x v="2"/>
            <x v="3"/>
          </reference>
        </references>
      </pivotArea>
    </format>
    <format dxfId="375">
      <pivotArea field="0" dataOnly="0" labelOnly="1" grandRow="1" outline="0" axis="axisRow" fieldPosition="0">
        <references count="1">
          <reference field="4294967294" count="1" selected="0">
            <x v="0"/>
          </reference>
        </references>
      </pivotArea>
    </format>
    <format dxfId="374">
      <pivotArea field="0" dataOnly="0" labelOnly="1" grandRow="1" outline="0" axis="axisRow" fieldPosition="0">
        <references count="1">
          <reference field="4294967294" count="1" selected="0">
            <x v="1"/>
          </reference>
        </references>
      </pivotArea>
    </format>
    <format dxfId="373">
      <pivotArea field="0" dataOnly="0" labelOnly="1" grandRow="1" outline="0" axis="axisRow" fieldPosition="0">
        <references count="1">
          <reference field="4294967294" count="1" selected="0">
            <x v="2"/>
          </reference>
        </references>
      </pivotArea>
    </format>
    <format dxfId="372">
      <pivotArea field="0" dataOnly="0" labelOnly="1" grandRow="1" outline="0" axis="axisRow" fieldPosition="0">
        <references count="1">
          <reference field="4294967294" count="1" selected="0">
            <x v="3"/>
          </reference>
        </references>
      </pivotArea>
    </format>
    <format dxfId="371">
      <pivotArea field="0" dataOnly="0" labelOnly="1" grandRow="1" outline="0" axis="axisRow" fieldPosition="0">
        <references count="1">
          <reference field="4294967294" count="1" selected="0">
            <x v="4"/>
          </reference>
        </references>
      </pivotArea>
    </format>
    <format dxfId="370">
      <pivotArea field="0" dataOnly="0" labelOnly="1" grandRow="1" outline="0" axis="axisRow" fieldPosition="0">
        <references count="1">
          <reference field="4294967294" count="1" selected="0">
            <x v="5"/>
          </reference>
        </references>
      </pivotArea>
    </format>
    <format dxfId="369">
      <pivotArea field="0" dataOnly="0" labelOnly="1" grandRow="1" outline="0" axis="axisRow" fieldPosition="0">
        <references count="1">
          <reference field="4294967294" count="1" selected="0">
            <x v="7"/>
          </reference>
        </references>
      </pivotArea>
    </format>
    <format dxfId="368">
      <pivotArea field="0" dataOnly="0" labelOnly="1" grandRow="1" outline="0" axis="axisRow" fieldPosition="0">
        <references count="1">
          <reference field="4294967294" count="1" selected="0">
            <x v="8"/>
          </reference>
        </references>
      </pivotArea>
    </format>
    <format dxfId="367">
      <pivotArea field="0" dataOnly="0" labelOnly="1" grandRow="1" outline="0" axis="axisRow" fieldPosition="0">
        <references count="1">
          <reference field="4294967294" count="1" selected="0">
            <x v="0"/>
          </reference>
        </references>
      </pivotArea>
    </format>
    <format dxfId="366">
      <pivotArea field="0" dataOnly="0" labelOnly="1" grandRow="1" outline="0" axis="axisRow" fieldPosition="0">
        <references count="1">
          <reference field="4294967294" count="1" selected="0">
            <x v="1"/>
          </reference>
        </references>
      </pivotArea>
    </format>
    <format dxfId="365">
      <pivotArea field="0" dataOnly="0" labelOnly="1" grandRow="1" outline="0" axis="axisRow" fieldPosition="0">
        <references count="1">
          <reference field="4294967294" count="1" selected="0">
            <x v="2"/>
          </reference>
        </references>
      </pivotArea>
    </format>
    <format dxfId="364">
      <pivotArea field="0" dataOnly="0" labelOnly="1" grandRow="1" outline="0" axis="axisRow" fieldPosition="0">
        <references count="1">
          <reference field="4294967294" count="1" selected="0">
            <x v="3"/>
          </reference>
        </references>
      </pivotArea>
    </format>
    <format dxfId="363">
      <pivotArea field="0" dataOnly="0" labelOnly="1" grandRow="1" outline="0" axis="axisRow" fieldPosition="0">
        <references count="1">
          <reference field="4294967294" count="1" selected="0">
            <x v="4"/>
          </reference>
        </references>
      </pivotArea>
    </format>
    <format dxfId="362">
      <pivotArea field="0" dataOnly="0" labelOnly="1" grandRow="1" outline="0" axis="axisRow" fieldPosition="0">
        <references count="1">
          <reference field="4294967294" count="1" selected="0">
            <x v="5"/>
          </reference>
        </references>
      </pivotArea>
    </format>
    <format dxfId="361">
      <pivotArea field="0" dataOnly="0" labelOnly="1" grandRow="1" outline="0" axis="axisRow" fieldPosition="0">
        <references count="1">
          <reference field="4294967294" count="1" selected="0">
            <x v="7"/>
          </reference>
        </references>
      </pivotArea>
    </format>
    <format dxfId="360">
      <pivotArea field="0" dataOnly="0" labelOnly="1" grandRow="1" outline="0" axis="axisRow" fieldPosition="0">
        <references count="1">
          <reference field="4294967294" count="1" selected="0">
            <x v="8"/>
          </reference>
        </references>
      </pivotArea>
    </format>
    <format dxfId="359">
      <pivotArea field="0" dataOnly="0" labelOnly="1" grandRow="1" outline="0" axis="axisRow" fieldPosition="0">
        <references count="1">
          <reference field="4294967294" count="1" selected="0">
            <x v="0"/>
          </reference>
        </references>
      </pivotArea>
    </format>
    <format dxfId="358">
      <pivotArea field="0" dataOnly="0" labelOnly="1" grandRow="1" outline="0" axis="axisRow" fieldPosition="0">
        <references count="1">
          <reference field="4294967294" count="1" selected="0">
            <x v="1"/>
          </reference>
        </references>
      </pivotArea>
    </format>
    <format dxfId="357">
      <pivotArea field="0" dataOnly="0" labelOnly="1" grandRow="1" outline="0" axis="axisRow" fieldPosition="0">
        <references count="1">
          <reference field="4294967294" count="1" selected="0">
            <x v="2"/>
          </reference>
        </references>
      </pivotArea>
    </format>
    <format dxfId="356">
      <pivotArea field="0" dataOnly="0" labelOnly="1" grandRow="1" outline="0" axis="axisRow" fieldPosition="0">
        <references count="1">
          <reference field="4294967294" count="1" selected="0">
            <x v="3"/>
          </reference>
        </references>
      </pivotArea>
    </format>
    <format dxfId="355">
      <pivotArea field="0" dataOnly="0" labelOnly="1" grandRow="1" outline="0" axis="axisRow" fieldPosition="0">
        <references count="1">
          <reference field="4294967294" count="1" selected="0">
            <x v="4"/>
          </reference>
        </references>
      </pivotArea>
    </format>
    <format dxfId="354">
      <pivotArea field="0" dataOnly="0" labelOnly="1" grandRow="1" outline="0" axis="axisRow" fieldPosition="0">
        <references count="1">
          <reference field="4294967294" count="1" selected="0">
            <x v="5"/>
          </reference>
        </references>
      </pivotArea>
    </format>
    <format dxfId="353">
      <pivotArea field="0" dataOnly="0" labelOnly="1" grandRow="1" outline="0" axis="axisRow" fieldPosition="0">
        <references count="1">
          <reference field="4294967294" count="1" selected="0">
            <x v="7"/>
          </reference>
        </references>
      </pivotArea>
    </format>
    <format dxfId="352">
      <pivotArea field="0" dataOnly="0" labelOnly="1" grandRow="1" outline="0" axis="axisRow" fieldPosition="0">
        <references count="1">
          <reference field="4294967294" count="1" selected="0">
            <x v="8"/>
          </reference>
        </references>
      </pivotArea>
    </format>
    <format dxfId="351">
      <pivotArea field="0" dataOnly="0" labelOnly="1" grandRow="1" outline="0" axis="axisRow" fieldPosition="0">
        <references count="1">
          <reference field="4294967294" count="1" selected="0">
            <x v="0"/>
          </reference>
        </references>
      </pivotArea>
    </format>
    <format dxfId="350">
      <pivotArea field="0" dataOnly="0" labelOnly="1" grandRow="1" outline="0" axis="axisRow" fieldPosition="0">
        <references count="1">
          <reference field="4294967294" count="1" selected="0">
            <x v="1"/>
          </reference>
        </references>
      </pivotArea>
    </format>
    <format dxfId="349">
      <pivotArea field="0" dataOnly="0" labelOnly="1" grandRow="1" outline="0" axis="axisRow" fieldPosition="0">
        <references count="1">
          <reference field="4294967294" count="1" selected="0">
            <x v="2"/>
          </reference>
        </references>
      </pivotArea>
    </format>
    <format dxfId="348">
      <pivotArea field="0" dataOnly="0" labelOnly="1" grandRow="1" outline="0" axis="axisRow" fieldPosition="0">
        <references count="1">
          <reference field="4294967294" count="1" selected="0">
            <x v="3"/>
          </reference>
        </references>
      </pivotArea>
    </format>
    <format dxfId="347">
      <pivotArea field="0" dataOnly="0" labelOnly="1" grandRow="1" outline="0" axis="axisRow" fieldPosition="0">
        <references count="1">
          <reference field="4294967294" count="1" selected="0">
            <x v="4"/>
          </reference>
        </references>
      </pivotArea>
    </format>
    <format dxfId="346">
      <pivotArea field="0" dataOnly="0" labelOnly="1" grandRow="1" outline="0" axis="axisRow" fieldPosition="0">
        <references count="1">
          <reference field="4294967294" count="1" selected="0">
            <x v="5"/>
          </reference>
        </references>
      </pivotArea>
    </format>
    <format dxfId="345">
      <pivotArea field="0" dataOnly="0" labelOnly="1" grandRow="1" outline="0" axis="axisRow" fieldPosition="0">
        <references count="1">
          <reference field="4294967294" count="1" selected="0">
            <x v="7"/>
          </reference>
        </references>
      </pivotArea>
    </format>
    <format dxfId="344">
      <pivotArea field="0" dataOnly="0" labelOnly="1" grandRow="1" outline="0" axis="axisRow" fieldPosition="0">
        <references count="1">
          <reference field="4294967294" count="1" selected="0">
            <x v="8"/>
          </reference>
        </references>
      </pivotArea>
    </format>
    <format dxfId="343">
      <pivotArea field="0" dataOnly="0" labelOnly="1" grandRow="1" outline="0" axis="axisRow" fieldPosition="0">
        <references count="1">
          <reference field="4294967294" count="1" selected="0">
            <x v="0"/>
          </reference>
        </references>
      </pivotArea>
    </format>
    <format dxfId="342">
      <pivotArea field="0" dataOnly="0" labelOnly="1" grandRow="1" outline="0" axis="axisRow" fieldPosition="0">
        <references count="1">
          <reference field="4294967294" count="1" selected="0">
            <x v="1"/>
          </reference>
        </references>
      </pivotArea>
    </format>
    <format dxfId="341">
      <pivotArea field="0" dataOnly="0" labelOnly="1" grandRow="1" outline="0" axis="axisRow" fieldPosition="0">
        <references count="1">
          <reference field="4294967294" count="1" selected="0">
            <x v="2"/>
          </reference>
        </references>
      </pivotArea>
    </format>
    <format dxfId="340">
      <pivotArea field="0" dataOnly="0" labelOnly="1" grandRow="1" outline="0" axis="axisRow" fieldPosition="0">
        <references count="1">
          <reference field="4294967294" count="1" selected="0">
            <x v="3"/>
          </reference>
        </references>
      </pivotArea>
    </format>
    <format dxfId="339">
      <pivotArea field="0" dataOnly="0" labelOnly="1" grandRow="1" outline="0" axis="axisRow" fieldPosition="0">
        <references count="1">
          <reference field="4294967294" count="1" selected="0">
            <x v="4"/>
          </reference>
        </references>
      </pivotArea>
    </format>
    <format dxfId="338">
      <pivotArea field="0" dataOnly="0" labelOnly="1" grandRow="1" outline="0" axis="axisRow" fieldPosition="0">
        <references count="1">
          <reference field="4294967294" count="1" selected="0">
            <x v="5"/>
          </reference>
        </references>
      </pivotArea>
    </format>
    <format dxfId="337">
      <pivotArea field="0" dataOnly="0" labelOnly="1" grandRow="1" outline="0" axis="axisRow" fieldPosition="0">
        <references count="1">
          <reference field="4294967294" count="1" selected="0">
            <x v="7"/>
          </reference>
        </references>
      </pivotArea>
    </format>
    <format dxfId="336">
      <pivotArea field="0" dataOnly="0" labelOnly="1" grandRow="1" outline="0" axis="axisRow" fieldPosition="0">
        <references count="1">
          <reference field="4294967294" count="1" selected="0">
            <x v="8"/>
          </reference>
        </references>
      </pivotArea>
    </format>
    <format dxfId="335">
      <pivotArea field="0" dataOnly="0" labelOnly="1" grandRow="1" outline="0" axis="axisRow" fieldPosition="0">
        <references count="1">
          <reference field="4294967294" count="1" selected="0">
            <x v="0"/>
          </reference>
        </references>
      </pivotArea>
    </format>
    <format dxfId="334">
      <pivotArea field="0" dataOnly="0" labelOnly="1" grandRow="1" outline="0" axis="axisRow" fieldPosition="0">
        <references count="1">
          <reference field="4294967294" count="1" selected="0">
            <x v="1"/>
          </reference>
        </references>
      </pivotArea>
    </format>
    <format dxfId="333">
      <pivotArea field="0" dataOnly="0" labelOnly="1" grandRow="1" outline="0" axis="axisRow" fieldPosition="0">
        <references count="1">
          <reference field="4294967294" count="1" selected="0">
            <x v="2"/>
          </reference>
        </references>
      </pivotArea>
    </format>
    <format dxfId="332">
      <pivotArea field="0" dataOnly="0" labelOnly="1" grandRow="1" outline="0" axis="axisRow" fieldPosition="0">
        <references count="1">
          <reference field="4294967294" count="1" selected="0">
            <x v="3"/>
          </reference>
        </references>
      </pivotArea>
    </format>
    <format dxfId="331">
      <pivotArea field="0" dataOnly="0" labelOnly="1" grandRow="1" outline="0" axis="axisRow" fieldPosition="0">
        <references count="1">
          <reference field="4294967294" count="1" selected="0">
            <x v="4"/>
          </reference>
        </references>
      </pivotArea>
    </format>
    <format dxfId="330">
      <pivotArea field="0" dataOnly="0" labelOnly="1" grandRow="1" outline="0" axis="axisRow" fieldPosition="0">
        <references count="1">
          <reference field="4294967294" count="1" selected="0">
            <x v="5"/>
          </reference>
        </references>
      </pivotArea>
    </format>
    <format dxfId="329">
      <pivotArea field="0" dataOnly="0" labelOnly="1" grandRow="1" outline="0" axis="axisRow" fieldPosition="0">
        <references count="1">
          <reference field="4294967294" count="1" selected="0">
            <x v="7"/>
          </reference>
        </references>
      </pivotArea>
    </format>
    <format dxfId="328">
      <pivotArea field="0" dataOnly="0" labelOnly="1" grandRow="1" outline="0" axis="axisRow" fieldPosition="0">
        <references count="1">
          <reference field="4294967294" count="1" selected="0">
            <x v="8"/>
          </reference>
        </references>
      </pivotArea>
    </format>
    <format dxfId="327">
      <pivotArea field="0" dataOnly="0" labelOnly="1" grandRow="1" outline="0" axis="axisRow" fieldPosition="0">
        <references count="1">
          <reference field="4294967294" count="1" selected="0">
            <x v="0"/>
          </reference>
        </references>
      </pivotArea>
    </format>
    <format dxfId="326">
      <pivotArea field="0" dataOnly="0" labelOnly="1" grandRow="1" outline="0" axis="axisRow" fieldPosition="0">
        <references count="1">
          <reference field="4294967294" count="1" selected="0">
            <x v="1"/>
          </reference>
        </references>
      </pivotArea>
    </format>
    <format dxfId="325">
      <pivotArea field="0" dataOnly="0" labelOnly="1" grandRow="1" outline="0" axis="axisRow" fieldPosition="0">
        <references count="1">
          <reference field="4294967294" count="1" selected="0">
            <x v="2"/>
          </reference>
        </references>
      </pivotArea>
    </format>
    <format dxfId="324">
      <pivotArea field="0" dataOnly="0" labelOnly="1" grandRow="1" outline="0" axis="axisRow" fieldPosition="0">
        <references count="1">
          <reference field="4294967294" count="1" selected="0">
            <x v="3"/>
          </reference>
        </references>
      </pivotArea>
    </format>
    <format dxfId="323">
      <pivotArea field="0" dataOnly="0" labelOnly="1" grandRow="1" outline="0" axis="axisRow" fieldPosition="0">
        <references count="1">
          <reference field="4294967294" count="1" selected="0">
            <x v="4"/>
          </reference>
        </references>
      </pivotArea>
    </format>
    <format dxfId="322">
      <pivotArea field="0" dataOnly="0" labelOnly="1" grandRow="1" outline="0" axis="axisRow" fieldPosition="0">
        <references count="1">
          <reference field="4294967294" count="1" selected="0">
            <x v="5"/>
          </reference>
        </references>
      </pivotArea>
    </format>
    <format dxfId="321">
      <pivotArea field="0" dataOnly="0" labelOnly="1" grandRow="1" outline="0" axis="axisRow" fieldPosition="0">
        <references count="1">
          <reference field="4294967294" count="1" selected="0">
            <x v="7"/>
          </reference>
        </references>
      </pivotArea>
    </format>
    <format dxfId="320">
      <pivotArea field="0" dataOnly="0" labelOnly="1" grandRow="1" outline="0" axis="axisRow" fieldPosition="0">
        <references count="1">
          <reference field="4294967294" count="1" selected="0">
            <x v="8"/>
          </reference>
        </references>
      </pivotArea>
    </format>
    <format dxfId="319">
      <pivotArea field="0" dataOnly="0" labelOnly="1" grandRow="1" outline="0" axis="axisRow" fieldPosition="0">
        <references count="1">
          <reference field="4294967294" count="1" selected="0">
            <x v="0"/>
          </reference>
        </references>
      </pivotArea>
    </format>
    <format dxfId="318">
      <pivotArea field="0" dataOnly="0" labelOnly="1" grandRow="1" outline="0" axis="axisRow" fieldPosition="0">
        <references count="1">
          <reference field="4294967294" count="1" selected="0">
            <x v="1"/>
          </reference>
        </references>
      </pivotArea>
    </format>
    <format dxfId="317">
      <pivotArea field="0" dataOnly="0" labelOnly="1" grandRow="1" outline="0" axis="axisRow" fieldPosition="0">
        <references count="1">
          <reference field="4294967294" count="1" selected="0">
            <x v="2"/>
          </reference>
        </references>
      </pivotArea>
    </format>
    <format dxfId="316">
      <pivotArea field="0" dataOnly="0" labelOnly="1" grandRow="1" outline="0" axis="axisRow" fieldPosition="0">
        <references count="1">
          <reference field="4294967294" count="1" selected="0">
            <x v="3"/>
          </reference>
        </references>
      </pivotArea>
    </format>
    <format dxfId="315">
      <pivotArea field="0" dataOnly="0" labelOnly="1" grandRow="1" outline="0" axis="axisRow" fieldPosition="0">
        <references count="1">
          <reference field="4294967294" count="1" selected="0">
            <x v="4"/>
          </reference>
        </references>
      </pivotArea>
    </format>
    <format dxfId="314">
      <pivotArea field="0" dataOnly="0" labelOnly="1" grandRow="1" outline="0" axis="axisRow" fieldPosition="0">
        <references count="1">
          <reference field="4294967294" count="1" selected="0">
            <x v="5"/>
          </reference>
        </references>
      </pivotArea>
    </format>
    <format dxfId="313">
      <pivotArea field="0" dataOnly="0" labelOnly="1" grandRow="1" outline="0" axis="axisRow" fieldPosition="0">
        <references count="1">
          <reference field="4294967294" count="1" selected="0">
            <x v="7"/>
          </reference>
        </references>
      </pivotArea>
    </format>
    <format dxfId="312">
      <pivotArea field="0" dataOnly="0" labelOnly="1" grandRow="1" outline="0" axis="axisRow" fieldPosition="0">
        <references count="1">
          <reference field="4294967294" count="1" selected="0">
            <x v="8"/>
          </reference>
        </references>
      </pivotArea>
    </format>
    <format dxfId="311">
      <pivotArea field="0" dataOnly="0" labelOnly="1" grandRow="1" outline="0" axis="axisRow" fieldPosition="0">
        <references count="1">
          <reference field="4294967294" count="1" selected="0">
            <x v="0"/>
          </reference>
        </references>
      </pivotArea>
    </format>
    <format dxfId="310">
      <pivotArea field="0" dataOnly="0" labelOnly="1" grandRow="1" outline="0" axis="axisRow" fieldPosition="0">
        <references count="1">
          <reference field="4294967294" count="1" selected="0">
            <x v="1"/>
          </reference>
        </references>
      </pivotArea>
    </format>
    <format dxfId="309">
      <pivotArea field="0" dataOnly="0" labelOnly="1" grandRow="1" outline="0" axis="axisRow" fieldPosition="0">
        <references count="1">
          <reference field="4294967294" count="1" selected="0">
            <x v="2"/>
          </reference>
        </references>
      </pivotArea>
    </format>
    <format dxfId="308">
      <pivotArea field="0" dataOnly="0" labelOnly="1" grandRow="1" outline="0" axis="axisRow" fieldPosition="0">
        <references count="1">
          <reference field="4294967294" count="1" selected="0">
            <x v="3"/>
          </reference>
        </references>
      </pivotArea>
    </format>
    <format dxfId="307">
      <pivotArea field="0" dataOnly="0" labelOnly="1" grandRow="1" outline="0" axis="axisRow" fieldPosition="0">
        <references count="1">
          <reference field="4294967294" count="1" selected="0">
            <x v="4"/>
          </reference>
        </references>
      </pivotArea>
    </format>
    <format dxfId="306">
      <pivotArea field="0" dataOnly="0" labelOnly="1" grandRow="1" outline="0" axis="axisRow" fieldPosition="0">
        <references count="1">
          <reference field="4294967294" count="1" selected="0">
            <x v="5"/>
          </reference>
        </references>
      </pivotArea>
    </format>
    <format dxfId="305">
      <pivotArea field="0" dataOnly="0" labelOnly="1" grandRow="1" outline="0" axis="axisRow" fieldPosition="0">
        <references count="1">
          <reference field="4294967294" count="1" selected="0">
            <x v="7"/>
          </reference>
        </references>
      </pivotArea>
    </format>
    <format dxfId="304">
      <pivotArea field="0" dataOnly="0" labelOnly="1" grandRow="1" outline="0" axis="axisRow" fieldPosition="0">
        <references count="1">
          <reference field="4294967294" count="1" selected="0">
            <x v="8"/>
          </reference>
        </references>
      </pivotArea>
    </format>
    <format dxfId="303">
      <pivotArea dataOnly="0" labelOnly="1" outline="0" fieldPosition="0">
        <references count="2">
          <reference field="4294967294" count="8">
            <x v="0"/>
            <x v="1"/>
            <x v="2"/>
            <x v="3"/>
            <x v="4"/>
            <x v="5"/>
            <x v="7"/>
            <x v="8"/>
          </reference>
          <reference field="0" count="1" selected="0">
            <x v="1"/>
          </reference>
        </references>
      </pivotArea>
    </format>
    <format dxfId="302">
      <pivotArea dataOnly="0" labelOnly="1" outline="0" fieldPosition="0">
        <references count="2">
          <reference field="4294967294" count="8">
            <x v="0"/>
            <x v="1"/>
            <x v="2"/>
            <x v="3"/>
            <x v="4"/>
            <x v="5"/>
            <x v="7"/>
            <x v="8"/>
          </reference>
          <reference field="0" count="1" selected="0">
            <x v="2"/>
          </reference>
        </references>
      </pivotArea>
    </format>
    <format dxfId="301">
      <pivotArea dataOnly="0" labelOnly="1" outline="0" fieldPosition="0">
        <references count="2">
          <reference field="4294967294" count="8">
            <x v="0"/>
            <x v="1"/>
            <x v="2"/>
            <x v="3"/>
            <x v="4"/>
            <x v="5"/>
            <x v="7"/>
            <x v="8"/>
          </reference>
          <reference field="0" count="1" selected="0">
            <x v="3"/>
          </reference>
        </references>
      </pivotArea>
    </format>
    <format dxfId="300">
      <pivotArea dataOnly="0" labelOnly="1" fieldPosition="0">
        <references count="1">
          <reference field="32" count="0"/>
        </references>
      </pivotArea>
    </format>
    <format dxfId="299">
      <pivotArea dataOnly="0" labelOnly="1" grandCol="1" outline="0" fieldPosition="0"/>
    </format>
    <format dxfId="298">
      <pivotArea field="53" type="button" dataOnly="0" labelOnly="1" outline="0" axis="axisCol" fieldPosition="0"/>
    </format>
    <format dxfId="297">
      <pivotArea dataOnly="0" labelOnly="1" grandCol="1" outline="0" fieldPosition="0"/>
    </format>
    <format dxfId="296">
      <pivotArea dataOnly="0" labelOnly="1" grandCol="1" outline="0" fieldPosition="0"/>
    </format>
    <format dxfId="295">
      <pivotArea dataOnly="0" labelOnly="1" grandCol="1" outline="0" fieldPosition="0"/>
    </format>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53" type="button" dataOnly="0" labelOnly="1" outline="0" axis="axisCol" fieldPosition="0"/>
    </format>
    <format dxfId="290">
      <pivotArea field="32" type="button" dataOnly="0" labelOnly="1" outline="0" axis="axisCol" fieldPosition="1"/>
    </format>
    <format dxfId="289">
      <pivotArea type="topRight" dataOnly="0" labelOnly="1" outline="0" fieldPosition="0"/>
    </format>
    <format dxfId="288">
      <pivotArea field="0" type="button" dataOnly="0" labelOnly="1" outline="0" axis="axisRow" fieldPosition="0"/>
    </format>
    <format dxfId="287">
      <pivotArea field="-2" type="button" dataOnly="0" labelOnly="1" outline="0" axis="axisRow" fieldPosition="1"/>
    </format>
    <format dxfId="286">
      <pivotArea dataOnly="0" labelOnly="1" fieldPosition="0">
        <references count="1">
          <reference field="0" count="3">
            <x v="1"/>
            <x v="2"/>
            <x v="3"/>
          </reference>
        </references>
      </pivotArea>
    </format>
    <format dxfId="285">
      <pivotArea field="0" dataOnly="0" labelOnly="1" grandRow="1" outline="0" axis="axisRow" fieldPosition="0">
        <references count="1">
          <reference field="4294967294" count="1" selected="0">
            <x v="0"/>
          </reference>
        </references>
      </pivotArea>
    </format>
    <format dxfId="284">
      <pivotArea field="0" dataOnly="0" labelOnly="1" grandRow="1" outline="0" axis="axisRow" fieldPosition="0">
        <references count="1">
          <reference field="4294967294" count="1" selected="0">
            <x v="1"/>
          </reference>
        </references>
      </pivotArea>
    </format>
    <format dxfId="283">
      <pivotArea field="0" dataOnly="0" labelOnly="1" grandRow="1" outline="0" axis="axisRow" fieldPosition="0">
        <references count="1">
          <reference field="4294967294" count="1" selected="0">
            <x v="2"/>
          </reference>
        </references>
      </pivotArea>
    </format>
    <format dxfId="282">
      <pivotArea field="0" dataOnly="0" labelOnly="1" grandRow="1" outline="0" axis="axisRow" fieldPosition="0">
        <references count="1">
          <reference field="4294967294" count="1" selected="0">
            <x v="3"/>
          </reference>
        </references>
      </pivotArea>
    </format>
    <format dxfId="281">
      <pivotArea field="0" dataOnly="0" labelOnly="1" grandRow="1" outline="0" axis="axisRow" fieldPosition="0">
        <references count="1">
          <reference field="4294967294" count="1" selected="0">
            <x v="4"/>
          </reference>
        </references>
      </pivotArea>
    </format>
    <format dxfId="280">
      <pivotArea field="0" dataOnly="0" labelOnly="1" grandRow="1" outline="0" axis="axisRow" fieldPosition="0">
        <references count="1">
          <reference field="4294967294" count="1" selected="0">
            <x v="5"/>
          </reference>
        </references>
      </pivotArea>
    </format>
    <format dxfId="279">
      <pivotArea field="0" dataOnly="0" labelOnly="1" grandRow="1" outline="0" axis="axisRow" fieldPosition="0">
        <references count="1">
          <reference field="4294967294" count="1" selected="0">
            <x v="7"/>
          </reference>
        </references>
      </pivotArea>
    </format>
    <format dxfId="278">
      <pivotArea field="0" dataOnly="0" labelOnly="1" grandRow="1" outline="0" axis="axisRow" fieldPosition="0">
        <references count="1">
          <reference field="4294967294" count="1" selected="0">
            <x v="8"/>
          </reference>
        </references>
      </pivotArea>
    </format>
    <format dxfId="277">
      <pivotArea field="0" dataOnly="0" labelOnly="1" grandRow="1" outline="0" axis="axisRow" fieldPosition="0">
        <references count="1">
          <reference field="4294967294" count="1" selected="0">
            <x v="0"/>
          </reference>
        </references>
      </pivotArea>
    </format>
    <format dxfId="276">
      <pivotArea field="0" dataOnly="0" labelOnly="1" grandRow="1" outline="0" axis="axisRow" fieldPosition="0">
        <references count="1">
          <reference field="4294967294" count="1" selected="0">
            <x v="1"/>
          </reference>
        </references>
      </pivotArea>
    </format>
    <format dxfId="275">
      <pivotArea field="0" dataOnly="0" labelOnly="1" grandRow="1" outline="0" axis="axisRow" fieldPosition="0">
        <references count="1">
          <reference field="4294967294" count="1" selected="0">
            <x v="2"/>
          </reference>
        </references>
      </pivotArea>
    </format>
    <format dxfId="274">
      <pivotArea field="0" dataOnly="0" labelOnly="1" grandRow="1" outline="0" axis="axisRow" fieldPosition="0">
        <references count="1">
          <reference field="4294967294" count="1" selected="0">
            <x v="3"/>
          </reference>
        </references>
      </pivotArea>
    </format>
    <format dxfId="273">
      <pivotArea field="0" dataOnly="0" labelOnly="1" grandRow="1" outline="0" axis="axisRow" fieldPosition="0">
        <references count="1">
          <reference field="4294967294" count="1" selected="0">
            <x v="4"/>
          </reference>
        </references>
      </pivotArea>
    </format>
    <format dxfId="272">
      <pivotArea field="0" dataOnly="0" labelOnly="1" grandRow="1" outline="0" axis="axisRow" fieldPosition="0">
        <references count="1">
          <reference field="4294967294" count="1" selected="0">
            <x v="5"/>
          </reference>
        </references>
      </pivotArea>
    </format>
    <format dxfId="271">
      <pivotArea field="0" dataOnly="0" labelOnly="1" grandRow="1" outline="0" axis="axisRow" fieldPosition="0">
        <references count="1">
          <reference field="4294967294" count="1" selected="0">
            <x v="7"/>
          </reference>
        </references>
      </pivotArea>
    </format>
    <format dxfId="270">
      <pivotArea field="0" dataOnly="0" labelOnly="1" grandRow="1" outline="0" axis="axisRow" fieldPosition="0">
        <references count="1">
          <reference field="4294967294" count="1" selected="0">
            <x v="8"/>
          </reference>
        </references>
      </pivotArea>
    </format>
    <format dxfId="269">
      <pivotArea field="0" dataOnly="0" labelOnly="1" grandRow="1" outline="0" axis="axisRow" fieldPosition="0">
        <references count="1">
          <reference field="4294967294" count="1" selected="0">
            <x v="0"/>
          </reference>
        </references>
      </pivotArea>
    </format>
    <format dxfId="268">
      <pivotArea field="0" dataOnly="0" labelOnly="1" grandRow="1" outline="0" axis="axisRow" fieldPosition="0">
        <references count="1">
          <reference field="4294967294" count="1" selected="0">
            <x v="1"/>
          </reference>
        </references>
      </pivotArea>
    </format>
    <format dxfId="267">
      <pivotArea field="0" dataOnly="0" labelOnly="1" grandRow="1" outline="0" axis="axisRow" fieldPosition="0">
        <references count="1">
          <reference field="4294967294" count="1" selected="0">
            <x v="2"/>
          </reference>
        </references>
      </pivotArea>
    </format>
    <format dxfId="266">
      <pivotArea field="0" dataOnly="0" labelOnly="1" grandRow="1" outline="0" axis="axisRow" fieldPosition="0">
        <references count="1">
          <reference field="4294967294" count="1" selected="0">
            <x v="3"/>
          </reference>
        </references>
      </pivotArea>
    </format>
    <format dxfId="265">
      <pivotArea field="0" dataOnly="0" labelOnly="1" grandRow="1" outline="0" axis="axisRow" fieldPosition="0">
        <references count="1">
          <reference field="4294967294" count="1" selected="0">
            <x v="4"/>
          </reference>
        </references>
      </pivotArea>
    </format>
    <format dxfId="264">
      <pivotArea field="0" dataOnly="0" labelOnly="1" grandRow="1" outline="0" axis="axisRow" fieldPosition="0">
        <references count="1">
          <reference field="4294967294" count="1" selected="0">
            <x v="5"/>
          </reference>
        </references>
      </pivotArea>
    </format>
    <format dxfId="263">
      <pivotArea field="0" dataOnly="0" labelOnly="1" grandRow="1" outline="0" axis="axisRow" fieldPosition="0">
        <references count="1">
          <reference field="4294967294" count="1" selected="0">
            <x v="7"/>
          </reference>
        </references>
      </pivotArea>
    </format>
    <format dxfId="262">
      <pivotArea field="0" dataOnly="0" labelOnly="1" grandRow="1" outline="0" axis="axisRow" fieldPosition="0">
        <references count="1">
          <reference field="4294967294" count="1" selected="0">
            <x v="8"/>
          </reference>
        </references>
      </pivotArea>
    </format>
    <format dxfId="261">
      <pivotArea field="0" dataOnly="0" labelOnly="1" grandRow="1" outline="0" axis="axisRow" fieldPosition="0">
        <references count="1">
          <reference field="4294967294" count="1" selected="0">
            <x v="0"/>
          </reference>
        </references>
      </pivotArea>
    </format>
    <format dxfId="260">
      <pivotArea field="0" dataOnly="0" labelOnly="1" grandRow="1" outline="0" axis="axisRow" fieldPosition="0">
        <references count="1">
          <reference field="4294967294" count="1" selected="0">
            <x v="1"/>
          </reference>
        </references>
      </pivotArea>
    </format>
    <format dxfId="259">
      <pivotArea field="0" dataOnly="0" labelOnly="1" grandRow="1" outline="0" axis="axisRow" fieldPosition="0">
        <references count="1">
          <reference field="4294967294" count="1" selected="0">
            <x v="2"/>
          </reference>
        </references>
      </pivotArea>
    </format>
    <format dxfId="258">
      <pivotArea field="0" dataOnly="0" labelOnly="1" grandRow="1" outline="0" axis="axisRow" fieldPosition="0">
        <references count="1">
          <reference field="4294967294" count="1" selected="0">
            <x v="3"/>
          </reference>
        </references>
      </pivotArea>
    </format>
    <format dxfId="257">
      <pivotArea field="0" dataOnly="0" labelOnly="1" grandRow="1" outline="0" axis="axisRow" fieldPosition="0">
        <references count="1">
          <reference field="4294967294" count="1" selected="0">
            <x v="4"/>
          </reference>
        </references>
      </pivotArea>
    </format>
    <format dxfId="256">
      <pivotArea field="0" dataOnly="0" labelOnly="1" grandRow="1" outline="0" axis="axisRow" fieldPosition="0">
        <references count="1">
          <reference field="4294967294" count="1" selected="0">
            <x v="5"/>
          </reference>
        </references>
      </pivotArea>
    </format>
    <format dxfId="255">
      <pivotArea field="0" dataOnly="0" labelOnly="1" grandRow="1" outline="0" axis="axisRow" fieldPosition="0">
        <references count="1">
          <reference field="4294967294" count="1" selected="0">
            <x v="7"/>
          </reference>
        </references>
      </pivotArea>
    </format>
    <format dxfId="254">
      <pivotArea field="0" dataOnly="0" labelOnly="1" grandRow="1" outline="0" axis="axisRow" fieldPosition="0">
        <references count="1">
          <reference field="4294967294" count="1" selected="0">
            <x v="8"/>
          </reference>
        </references>
      </pivotArea>
    </format>
    <format dxfId="253">
      <pivotArea field="0" dataOnly="0" labelOnly="1" grandRow="1" outline="0" axis="axisRow" fieldPosition="0">
        <references count="1">
          <reference field="4294967294" count="1" selected="0">
            <x v="0"/>
          </reference>
        </references>
      </pivotArea>
    </format>
    <format dxfId="252">
      <pivotArea field="0" dataOnly="0" labelOnly="1" grandRow="1" outline="0" axis="axisRow" fieldPosition="0">
        <references count="1">
          <reference field="4294967294" count="1" selected="0">
            <x v="1"/>
          </reference>
        </references>
      </pivotArea>
    </format>
    <format dxfId="251">
      <pivotArea field="0" dataOnly="0" labelOnly="1" grandRow="1" outline="0" axis="axisRow" fieldPosition="0">
        <references count="1">
          <reference field="4294967294" count="1" selected="0">
            <x v="2"/>
          </reference>
        </references>
      </pivotArea>
    </format>
    <format dxfId="250">
      <pivotArea field="0" dataOnly="0" labelOnly="1" grandRow="1" outline="0" axis="axisRow" fieldPosition="0">
        <references count="1">
          <reference field="4294967294" count="1" selected="0">
            <x v="3"/>
          </reference>
        </references>
      </pivotArea>
    </format>
    <format dxfId="249">
      <pivotArea field="0" dataOnly="0" labelOnly="1" grandRow="1" outline="0" axis="axisRow" fieldPosition="0">
        <references count="1">
          <reference field="4294967294" count="1" selected="0">
            <x v="4"/>
          </reference>
        </references>
      </pivotArea>
    </format>
    <format dxfId="248">
      <pivotArea field="0" dataOnly="0" labelOnly="1" grandRow="1" outline="0" axis="axisRow" fieldPosition="0">
        <references count="1">
          <reference field="4294967294" count="1" selected="0">
            <x v="5"/>
          </reference>
        </references>
      </pivotArea>
    </format>
    <format dxfId="247">
      <pivotArea field="0" dataOnly="0" labelOnly="1" grandRow="1" outline="0" axis="axisRow" fieldPosition="0">
        <references count="1">
          <reference field="4294967294" count="1" selected="0">
            <x v="7"/>
          </reference>
        </references>
      </pivotArea>
    </format>
    <format dxfId="246">
      <pivotArea field="0" dataOnly="0" labelOnly="1" grandRow="1" outline="0" axis="axisRow" fieldPosition="0">
        <references count="1">
          <reference field="4294967294" count="1" selected="0">
            <x v="8"/>
          </reference>
        </references>
      </pivotArea>
    </format>
    <format dxfId="245">
      <pivotArea field="0" dataOnly="0" labelOnly="1" grandRow="1" outline="0" axis="axisRow" fieldPosition="0">
        <references count="1">
          <reference field="4294967294" count="1" selected="0">
            <x v="0"/>
          </reference>
        </references>
      </pivotArea>
    </format>
    <format dxfId="244">
      <pivotArea field="0" dataOnly="0" labelOnly="1" grandRow="1" outline="0" axis="axisRow" fieldPosition="0">
        <references count="1">
          <reference field="4294967294" count="1" selected="0">
            <x v="1"/>
          </reference>
        </references>
      </pivotArea>
    </format>
    <format dxfId="243">
      <pivotArea field="0" dataOnly="0" labelOnly="1" grandRow="1" outline="0" axis="axisRow" fieldPosition="0">
        <references count="1">
          <reference field="4294967294" count="1" selected="0">
            <x v="2"/>
          </reference>
        </references>
      </pivotArea>
    </format>
    <format dxfId="242">
      <pivotArea field="0" dataOnly="0" labelOnly="1" grandRow="1" outline="0" axis="axisRow" fieldPosition="0">
        <references count="1">
          <reference field="4294967294" count="1" selected="0">
            <x v="3"/>
          </reference>
        </references>
      </pivotArea>
    </format>
    <format dxfId="241">
      <pivotArea field="0" dataOnly="0" labelOnly="1" grandRow="1" outline="0" axis="axisRow" fieldPosition="0">
        <references count="1">
          <reference field="4294967294" count="1" selected="0">
            <x v="4"/>
          </reference>
        </references>
      </pivotArea>
    </format>
    <format dxfId="240">
      <pivotArea field="0" dataOnly="0" labelOnly="1" grandRow="1" outline="0" axis="axisRow" fieldPosition="0">
        <references count="1">
          <reference field="4294967294" count="1" selected="0">
            <x v="5"/>
          </reference>
        </references>
      </pivotArea>
    </format>
    <format dxfId="239">
      <pivotArea field="0" dataOnly="0" labelOnly="1" grandRow="1" outline="0" axis="axisRow" fieldPosition="0">
        <references count="1">
          <reference field="4294967294" count="1" selected="0">
            <x v="7"/>
          </reference>
        </references>
      </pivotArea>
    </format>
    <format dxfId="238">
      <pivotArea field="0" dataOnly="0" labelOnly="1" grandRow="1" outline="0" axis="axisRow" fieldPosition="0">
        <references count="1">
          <reference field="4294967294" count="1" selected="0">
            <x v="8"/>
          </reference>
        </references>
      </pivotArea>
    </format>
    <format dxfId="237">
      <pivotArea field="0" dataOnly="0" labelOnly="1" grandRow="1" outline="0" axis="axisRow" fieldPosition="0">
        <references count="1">
          <reference field="4294967294" count="1" selected="0">
            <x v="0"/>
          </reference>
        </references>
      </pivotArea>
    </format>
    <format dxfId="236">
      <pivotArea field="0" dataOnly="0" labelOnly="1" grandRow="1" outline="0" axis="axisRow" fieldPosition="0">
        <references count="1">
          <reference field="4294967294" count="1" selected="0">
            <x v="1"/>
          </reference>
        </references>
      </pivotArea>
    </format>
    <format dxfId="235">
      <pivotArea field="0" dataOnly="0" labelOnly="1" grandRow="1" outline="0" axis="axisRow" fieldPosition="0">
        <references count="1">
          <reference field="4294967294" count="1" selected="0">
            <x v="2"/>
          </reference>
        </references>
      </pivotArea>
    </format>
    <format dxfId="234">
      <pivotArea field="0" dataOnly="0" labelOnly="1" grandRow="1" outline="0" axis="axisRow" fieldPosition="0">
        <references count="1">
          <reference field="4294967294" count="1" selected="0">
            <x v="3"/>
          </reference>
        </references>
      </pivotArea>
    </format>
    <format dxfId="233">
      <pivotArea field="0" dataOnly="0" labelOnly="1" grandRow="1" outline="0" axis="axisRow" fieldPosition="0">
        <references count="1">
          <reference field="4294967294" count="1" selected="0">
            <x v="4"/>
          </reference>
        </references>
      </pivotArea>
    </format>
    <format dxfId="232">
      <pivotArea field="0" dataOnly="0" labelOnly="1" grandRow="1" outline="0" axis="axisRow" fieldPosition="0">
        <references count="1">
          <reference field="4294967294" count="1" selected="0">
            <x v="5"/>
          </reference>
        </references>
      </pivotArea>
    </format>
    <format dxfId="231">
      <pivotArea field="0" dataOnly="0" labelOnly="1" grandRow="1" outline="0" axis="axisRow" fieldPosition="0">
        <references count="1">
          <reference field="4294967294" count="1" selected="0">
            <x v="7"/>
          </reference>
        </references>
      </pivotArea>
    </format>
    <format dxfId="230">
      <pivotArea field="0" dataOnly="0" labelOnly="1" grandRow="1" outline="0" axis="axisRow" fieldPosition="0">
        <references count="1">
          <reference field="4294967294" count="1" selected="0">
            <x v="8"/>
          </reference>
        </references>
      </pivotArea>
    </format>
    <format dxfId="229">
      <pivotArea field="0" dataOnly="0" labelOnly="1" grandRow="1" outline="0" axis="axisRow" fieldPosition="0">
        <references count="1">
          <reference field="4294967294" count="1" selected="0">
            <x v="0"/>
          </reference>
        </references>
      </pivotArea>
    </format>
    <format dxfId="228">
      <pivotArea field="0" dataOnly="0" labelOnly="1" grandRow="1" outline="0" axis="axisRow" fieldPosition="0">
        <references count="1">
          <reference field="4294967294" count="1" selected="0">
            <x v="1"/>
          </reference>
        </references>
      </pivotArea>
    </format>
    <format dxfId="227">
      <pivotArea field="0" dataOnly="0" labelOnly="1" grandRow="1" outline="0" axis="axisRow" fieldPosition="0">
        <references count="1">
          <reference field="4294967294" count="1" selected="0">
            <x v="2"/>
          </reference>
        </references>
      </pivotArea>
    </format>
    <format dxfId="226">
      <pivotArea field="0" dataOnly="0" labelOnly="1" grandRow="1" outline="0" axis="axisRow" fieldPosition="0">
        <references count="1">
          <reference field="4294967294" count="1" selected="0">
            <x v="3"/>
          </reference>
        </references>
      </pivotArea>
    </format>
    <format dxfId="225">
      <pivotArea field="0" dataOnly="0" labelOnly="1" grandRow="1" outline="0" axis="axisRow" fieldPosition="0">
        <references count="1">
          <reference field="4294967294" count="1" selected="0">
            <x v="4"/>
          </reference>
        </references>
      </pivotArea>
    </format>
    <format dxfId="224">
      <pivotArea field="0" dataOnly="0" labelOnly="1" grandRow="1" outline="0" axis="axisRow" fieldPosition="0">
        <references count="1">
          <reference field="4294967294" count="1" selected="0">
            <x v="5"/>
          </reference>
        </references>
      </pivotArea>
    </format>
    <format dxfId="223">
      <pivotArea field="0" dataOnly="0" labelOnly="1" grandRow="1" outline="0" axis="axisRow" fieldPosition="0">
        <references count="1">
          <reference field="4294967294" count="1" selected="0">
            <x v="7"/>
          </reference>
        </references>
      </pivotArea>
    </format>
    <format dxfId="222">
      <pivotArea field="0" dataOnly="0" labelOnly="1" grandRow="1" outline="0" axis="axisRow" fieldPosition="0">
        <references count="1">
          <reference field="4294967294" count="1" selected="0">
            <x v="8"/>
          </reference>
        </references>
      </pivotArea>
    </format>
    <format dxfId="221">
      <pivotArea field="0" dataOnly="0" labelOnly="1" grandRow="1" outline="0" axis="axisRow" fieldPosition="0">
        <references count="1">
          <reference field="4294967294" count="1" selected="0">
            <x v="0"/>
          </reference>
        </references>
      </pivotArea>
    </format>
    <format dxfId="220">
      <pivotArea field="0" dataOnly="0" labelOnly="1" grandRow="1" outline="0" axis="axisRow" fieldPosition="0">
        <references count="1">
          <reference field="4294967294" count="1" selected="0">
            <x v="1"/>
          </reference>
        </references>
      </pivotArea>
    </format>
    <format dxfId="219">
      <pivotArea field="0" dataOnly="0" labelOnly="1" grandRow="1" outline="0" axis="axisRow" fieldPosition="0">
        <references count="1">
          <reference field="4294967294" count="1" selected="0">
            <x v="2"/>
          </reference>
        </references>
      </pivotArea>
    </format>
    <format dxfId="218">
      <pivotArea field="0" dataOnly="0" labelOnly="1" grandRow="1" outline="0" axis="axisRow" fieldPosition="0">
        <references count="1">
          <reference field="4294967294" count="1" selected="0">
            <x v="3"/>
          </reference>
        </references>
      </pivotArea>
    </format>
    <format dxfId="217">
      <pivotArea field="0" dataOnly="0" labelOnly="1" grandRow="1" outline="0" axis="axisRow" fieldPosition="0">
        <references count="1">
          <reference field="4294967294" count="1" selected="0">
            <x v="4"/>
          </reference>
        </references>
      </pivotArea>
    </format>
    <format dxfId="216">
      <pivotArea field="0" dataOnly="0" labelOnly="1" grandRow="1" outline="0" axis="axisRow" fieldPosition="0">
        <references count="1">
          <reference field="4294967294" count="1" selected="0">
            <x v="5"/>
          </reference>
        </references>
      </pivotArea>
    </format>
    <format dxfId="215">
      <pivotArea field="0" dataOnly="0" labelOnly="1" grandRow="1" outline="0" axis="axisRow" fieldPosition="0">
        <references count="1">
          <reference field="4294967294" count="1" selected="0">
            <x v="7"/>
          </reference>
        </references>
      </pivotArea>
    </format>
    <format dxfId="214">
      <pivotArea field="0" dataOnly="0" labelOnly="1" grandRow="1" outline="0" axis="axisRow" fieldPosition="0">
        <references count="1">
          <reference field="4294967294" count="1" selected="0">
            <x v="8"/>
          </reference>
        </references>
      </pivotArea>
    </format>
    <format dxfId="213">
      <pivotArea dataOnly="0" labelOnly="1" outline="0" fieldPosition="0">
        <references count="2">
          <reference field="4294967294" count="8">
            <x v="0"/>
            <x v="1"/>
            <x v="2"/>
            <x v="3"/>
            <x v="4"/>
            <x v="5"/>
            <x v="7"/>
            <x v="8"/>
          </reference>
          <reference field="0" count="1" selected="0">
            <x v="1"/>
          </reference>
        </references>
      </pivotArea>
    </format>
    <format dxfId="212">
      <pivotArea dataOnly="0" labelOnly="1" outline="0" fieldPosition="0">
        <references count="2">
          <reference field="4294967294" count="8">
            <x v="0"/>
            <x v="1"/>
            <x v="2"/>
            <x v="3"/>
            <x v="4"/>
            <x v="5"/>
            <x v="7"/>
            <x v="8"/>
          </reference>
          <reference field="0" count="1" selected="0">
            <x v="2"/>
          </reference>
        </references>
      </pivotArea>
    </format>
    <format dxfId="211">
      <pivotArea dataOnly="0" labelOnly="1" outline="0" fieldPosition="0">
        <references count="2">
          <reference field="4294967294" count="8">
            <x v="0"/>
            <x v="1"/>
            <x v="2"/>
            <x v="3"/>
            <x v="4"/>
            <x v="5"/>
            <x v="7"/>
            <x v="8"/>
          </reference>
          <reference field="0" count="1" selected="0">
            <x v="3"/>
          </reference>
        </references>
      </pivotArea>
    </format>
    <format dxfId="210">
      <pivotArea dataOnly="0" labelOnly="1" fieldPosition="0">
        <references count="1">
          <reference field="53" count="3">
            <x v="0"/>
            <x v="2"/>
            <x v="3"/>
          </reference>
        </references>
      </pivotArea>
    </format>
    <format dxfId="209">
      <pivotArea dataOnly="0" labelOnly="1" fieldPosition="0">
        <references count="1">
          <reference field="53" count="3" defaultSubtotal="1">
            <x v="0"/>
            <x v="2"/>
            <x v="3"/>
          </reference>
        </references>
      </pivotArea>
    </format>
    <format dxfId="208">
      <pivotArea dataOnly="0" labelOnly="1" grandCol="1" outline="0" fieldPosition="0"/>
    </format>
    <format dxfId="207">
      <pivotArea dataOnly="0" labelOnly="1" fieldPosition="0">
        <references count="2">
          <reference field="32" count="1">
            <x v="3"/>
          </reference>
          <reference field="53" count="1" selected="0">
            <x v="0"/>
          </reference>
        </references>
      </pivotArea>
    </format>
    <format dxfId="206">
      <pivotArea dataOnly="0" labelOnly="1" fieldPosition="0">
        <references count="2">
          <reference field="32" count="2">
            <x v="0"/>
            <x v="4"/>
          </reference>
          <reference field="53" count="1" selected="0">
            <x v="2"/>
          </reference>
        </references>
      </pivotArea>
    </format>
    <format dxfId="205">
      <pivotArea dataOnly="0" labelOnly="1" fieldPosition="0">
        <references count="2">
          <reference field="32" count="2">
            <x v="1"/>
            <x v="2"/>
          </reference>
          <reference field="53" count="1" selected="0">
            <x v="3"/>
          </reference>
        </references>
      </pivotArea>
    </format>
    <format dxfId="204">
      <pivotArea dataOnly="0" labelOnly="1" fieldPosition="0">
        <references count="1">
          <reference field="53" count="1" defaultSubtotal="1">
            <x v="0"/>
          </reference>
        </references>
      </pivotArea>
    </format>
    <format dxfId="203">
      <pivotArea dataOnly="0" labelOnly="1" fieldPosition="0">
        <references count="1">
          <reference field="53" count="1" defaultSubtotal="1">
            <x v="0"/>
          </reference>
        </references>
      </pivotArea>
    </format>
    <format dxfId="202">
      <pivotArea dataOnly="0" labelOnly="1" fieldPosition="0">
        <references count="1">
          <reference field="53" count="1" defaultSubtotal="1">
            <x v="2"/>
          </reference>
        </references>
      </pivotArea>
    </format>
    <format dxfId="201">
      <pivotArea dataOnly="0" labelOnly="1" fieldPosition="0">
        <references count="1">
          <reference field="53" count="1" defaultSubtotal="1">
            <x v="3"/>
          </reference>
        </references>
      </pivotArea>
    </format>
    <format dxfId="200">
      <pivotArea dataOnly="0" labelOnly="1" grandCol="1" outline="0" fieldPosition="0"/>
    </format>
    <format dxfId="199">
      <pivotArea dataOnly="0" labelOnly="1" fieldPosition="0">
        <references count="1">
          <reference field="53" count="1" defaultSubtotal="1">
            <x v="2"/>
          </reference>
        </references>
      </pivotArea>
    </format>
    <format dxfId="198">
      <pivotArea dataOnly="0" labelOnly="1" fieldPosition="0">
        <references count="1">
          <reference field="53" count="1" defaultSubtotal="1">
            <x v="0"/>
          </reference>
        </references>
      </pivotArea>
    </format>
    <format dxfId="197">
      <pivotArea dataOnly="0" labelOnly="1" fieldPosition="0">
        <references count="1">
          <reference field="53" count="1" defaultSubtotal="1">
            <x v="3"/>
          </reference>
        </references>
      </pivotArea>
    </format>
    <format dxfId="196">
      <pivotArea dataOnly="0" labelOnly="1" fieldPosition="0">
        <references count="1">
          <reference field="53" count="1">
            <x v="3"/>
          </reference>
        </references>
      </pivotArea>
    </format>
    <format dxfId="195">
      <pivotArea dataOnly="0" labelOnly="1" fieldPosition="0">
        <references count="1">
          <reference field="53" count="1">
            <x v="3"/>
          </reference>
        </references>
      </pivotArea>
    </format>
    <format dxfId="194">
      <pivotArea dataOnly="0" labelOnly="1" fieldPosition="0">
        <references count="1">
          <reference field="53" count="1" defaultSubtotal="1">
            <x v="2"/>
          </reference>
        </references>
      </pivotArea>
    </format>
    <format dxfId="193">
      <pivotArea dataOnly="0" labelOnly="1" fieldPosition="0">
        <references count="1">
          <reference field="53" count="1" defaultSubtotal="1">
            <x v="2"/>
          </reference>
        </references>
      </pivotArea>
    </format>
    <format dxfId="192">
      <pivotArea dataOnly="0" labelOnly="1" fieldPosition="0">
        <references count="1">
          <reference field="53" count="1" defaultSubtotal="1">
            <x v="2"/>
          </reference>
        </references>
      </pivotArea>
    </format>
    <format dxfId="191">
      <pivotArea dataOnly="0" labelOnly="1" fieldPosition="0">
        <references count="1">
          <reference field="53" count="1" defaultSubtotal="1">
            <x v="2"/>
          </reference>
        </references>
      </pivotArea>
    </format>
    <format dxfId="190">
      <pivotArea dataOnly="0" labelOnly="1" fieldPosition="0">
        <references count="1">
          <reference field="53" count="1">
            <x v="3"/>
          </reference>
        </references>
      </pivotArea>
    </format>
    <format dxfId="189">
      <pivotArea dataOnly="0" labelOnly="1" fieldPosition="0">
        <references count="1">
          <reference field="53" count="1">
            <x v="2"/>
          </reference>
        </references>
      </pivotArea>
    </format>
    <format dxfId="188">
      <pivotArea dataOnly="0" labelOnly="1" fieldPosition="0">
        <references count="1">
          <reference field="53" count="1">
            <x v="0"/>
          </reference>
        </references>
      </pivotArea>
    </format>
    <format dxfId="187">
      <pivotArea dataOnly="0" labelOnly="1" fieldPosition="0">
        <references count="1">
          <reference field="53" count="1" defaultSubtotal="1">
            <x v="3"/>
          </reference>
        </references>
      </pivotArea>
    </format>
    <format dxfId="186">
      <pivotArea dataOnly="0" labelOnly="1" fieldPosition="0">
        <references count="1">
          <reference field="53" count="1" defaultSubtotal="1">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leau croisé dynamique4" cacheId="2" applyNumberFormats="0" applyBorderFormats="0" applyFontFormats="0" applyPatternFormats="0" applyAlignmentFormats="0" applyWidthHeightFormats="1" dataCaption="Valeurs" updatedVersion="7" minRefreshableVersion="3" rowGrandTotals="0" colGrandTotals="0" itemPrintTitles="1" createdVersion="4" indent="0" outline="1" outlineData="1" multipleFieldFilters="0">
  <location ref="M32:P35" firstHeaderRow="1" firstDataRow="2" firstDataCol="1"/>
  <pivotFields count="54">
    <pivotField showAll="0"/>
    <pivotField showAll="0"/>
    <pivotField showAll="0"/>
    <pivotField showAll="0" defaultSubtotal="0"/>
    <pivotField showAll="0"/>
    <pivotField axis="axisRow" showAll="0" sortType="ascending">
      <items count="4">
        <item x="0"/>
        <item m="1" x="2"/>
        <item x="1"/>
        <item t="default"/>
      </items>
    </pivotField>
    <pivotField axis="axisCol" showAll="0" defaultSubtotal="0">
      <items count="4">
        <item x="0"/>
        <item x="1"/>
        <item m="1" x="3"/>
        <item x="2"/>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numFmtId="3" showAll="0"/>
    <pivotField showAll="0"/>
    <pivotField numFmtId="171" showAll="0" defaultSubtotal="0"/>
    <pivotField numFmtId="3" showAll="0" defaultSubtotal="0"/>
    <pivotField numFmtId="3" showAll="0" defaultSubtotal="0"/>
    <pivotField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i>
    <i>
      <x v="2"/>
    </i>
  </rowItems>
  <colFields count="1">
    <field x="6"/>
  </colFields>
  <colItems count="3">
    <i>
      <x/>
    </i>
    <i>
      <x v="1"/>
    </i>
    <i>
      <x v="3"/>
    </i>
  </colItems>
  <dataFields count="1">
    <dataField name="Montant d'aide totale" fld="46" baseField="4" baseItem="1"/>
  </dataFields>
  <formats count="65">
    <format dxfId="161">
      <pivotArea outline="0" collapsedLevelsAreSubtotals="1" fieldPosition="0"/>
    </format>
    <format dxfId="160">
      <pivotArea outline="0" collapsedLevelsAreSubtotals="1" fieldPosition="0">
        <references count="1">
          <reference field="5" count="0" selected="0"/>
        </references>
      </pivotArea>
    </format>
    <format dxfId="159">
      <pivotArea grandCol="1" outline="0" collapsedLevelsAreSubtotals="1" fieldPosition="0"/>
    </format>
    <format dxfId="158">
      <pivotArea type="all" dataOnly="0" outline="0" fieldPosition="0"/>
    </format>
    <format dxfId="157">
      <pivotArea outline="0" collapsedLevelsAreSubtotals="1" fieldPosition="0"/>
    </format>
    <format dxfId="156">
      <pivotArea dataOnly="0" labelOnly="1" fieldPosition="0">
        <references count="1">
          <reference field="5" count="0"/>
        </references>
      </pivotArea>
    </format>
    <format dxfId="155">
      <pivotArea dataOnly="0" labelOnly="1" grandRow="1" outline="0" fieldPosition="0"/>
    </format>
    <format dxfId="154">
      <pivotArea dataOnly="0" labelOnly="1" outline="0" fieldPosition="0">
        <references count="1">
          <reference field="4294967294" count="1">
            <x v="0"/>
          </reference>
        </references>
      </pivotArea>
    </format>
    <format dxfId="153">
      <pivotArea dataOnly="0" labelOnly="1" outline="0" fieldPosition="0">
        <references count="1">
          <reference field="4294967294" count="1">
            <x v="0"/>
          </reference>
        </references>
      </pivotArea>
    </format>
    <format dxfId="152">
      <pivotArea dataOnly="0" labelOnly="1" outline="0" fieldPosition="0">
        <references count="1">
          <reference field="4294967294" count="1">
            <x v="0"/>
          </reference>
        </references>
      </pivotArea>
    </format>
    <format dxfId="151">
      <pivotArea dataOnly="0" labelOnly="1" outline="0" fieldPosition="0">
        <references count="1">
          <reference field="4294967294" count="1">
            <x v="0"/>
          </reference>
        </references>
      </pivotArea>
    </format>
    <format dxfId="150">
      <pivotArea dataOnly="0" labelOnly="1" outline="0" fieldPosition="0">
        <references count="1">
          <reference field="4294967294" count="1">
            <x v="0"/>
          </reference>
        </references>
      </pivotArea>
    </format>
    <format dxfId="149">
      <pivotArea dataOnly="0" labelOnly="1" outline="0" fieldPosition="0">
        <references count="1">
          <reference field="4294967294" count="1">
            <x v="0"/>
          </reference>
        </references>
      </pivotArea>
    </format>
    <format dxfId="148">
      <pivotArea dataOnly="0" labelOnly="1" outline="0" fieldPosition="0">
        <references count="1">
          <reference field="4294967294" count="1">
            <x v="0"/>
          </reference>
        </references>
      </pivotArea>
    </format>
    <format dxfId="147">
      <pivotArea dataOnly="0" labelOnly="1" outline="0" fieldPosition="0">
        <references count="1">
          <reference field="4294967294" count="1">
            <x v="0"/>
          </reference>
        </references>
      </pivotArea>
    </format>
    <format dxfId="146">
      <pivotArea type="all" dataOnly="0" outline="0" fieldPosition="0"/>
    </format>
    <format dxfId="145">
      <pivotArea outline="0" collapsedLevelsAreSubtotals="1" fieldPosition="0"/>
    </format>
    <format dxfId="144">
      <pivotArea dataOnly="0" labelOnly="1" fieldPosition="0">
        <references count="1">
          <reference field="5" count="0"/>
        </references>
      </pivotArea>
    </format>
    <format dxfId="143">
      <pivotArea dataOnly="0" labelOnly="1" grandRow="1" outline="0" fieldPosition="0"/>
    </format>
    <format dxfId="142">
      <pivotArea dataOnly="0" labelOnly="1" outline="0" fieldPosition="0">
        <references count="1">
          <reference field="4294967294" count="1">
            <x v="0"/>
          </reference>
        </references>
      </pivotArea>
    </format>
    <format dxfId="141">
      <pivotArea type="all" dataOnly="0" outline="0" fieldPosition="0"/>
    </format>
    <format dxfId="140">
      <pivotArea outline="0" collapsedLevelsAreSubtotals="1" fieldPosition="0"/>
    </format>
    <format dxfId="139">
      <pivotArea dataOnly="0" labelOnly="1" fieldPosition="0">
        <references count="1">
          <reference field="5" count="0"/>
        </references>
      </pivotArea>
    </format>
    <format dxfId="138">
      <pivotArea dataOnly="0" labelOnly="1" grandRow="1" outline="0" fieldPosition="0"/>
    </format>
    <format dxfId="137">
      <pivotArea dataOnly="0" labelOnly="1" outline="0" fieldPosition="0">
        <references count="1">
          <reference field="4294967294" count="1">
            <x v="0"/>
          </reference>
        </references>
      </pivotArea>
    </format>
    <format dxfId="136">
      <pivotArea type="all" dataOnly="0" outline="0" fieldPosition="0"/>
    </format>
    <format dxfId="135">
      <pivotArea outline="0" collapsedLevelsAreSubtotals="1" fieldPosition="0"/>
    </format>
    <format dxfId="134">
      <pivotArea dataOnly="0" labelOnly="1" fieldPosition="0">
        <references count="1">
          <reference field="5" count="0"/>
        </references>
      </pivotArea>
    </format>
    <format dxfId="133">
      <pivotArea dataOnly="0" labelOnly="1" grandRow="1" outline="0" fieldPosition="0"/>
    </format>
    <format dxfId="132">
      <pivotArea dataOnly="0" labelOnly="1" outline="0" fieldPosition="0">
        <references count="1">
          <reference field="4294967294" count="1">
            <x v="0"/>
          </reference>
        </references>
      </pivotArea>
    </format>
    <format dxfId="131">
      <pivotArea type="all" dataOnly="0" outline="0" fieldPosition="0"/>
    </format>
    <format dxfId="130">
      <pivotArea outline="0" collapsedLevelsAreSubtotals="1" fieldPosition="0"/>
    </format>
    <format dxfId="129">
      <pivotArea dataOnly="0" labelOnly="1" fieldPosition="0">
        <references count="1">
          <reference field="5" count="0"/>
        </references>
      </pivotArea>
    </format>
    <format dxfId="128">
      <pivotArea dataOnly="0" labelOnly="1" grandRow="1" outline="0" fieldPosition="0"/>
    </format>
    <format dxfId="127">
      <pivotArea dataOnly="0" labelOnly="1" outline="0" fieldPosition="0">
        <references count="1">
          <reference field="4294967294" count="1">
            <x v="0"/>
          </reference>
        </references>
      </pivotArea>
    </format>
    <format dxfId="126">
      <pivotArea type="all" dataOnly="0" outline="0" fieldPosition="0"/>
    </format>
    <format dxfId="125">
      <pivotArea outline="0" collapsedLevelsAreSubtotals="1" fieldPosition="0"/>
    </format>
    <format dxfId="124">
      <pivotArea dataOnly="0" labelOnly="1" fieldPosition="0">
        <references count="1">
          <reference field="5" count="0"/>
        </references>
      </pivotArea>
    </format>
    <format dxfId="123">
      <pivotArea dataOnly="0" labelOnly="1" grandRow="1" outline="0" fieldPosition="0"/>
    </format>
    <format dxfId="122">
      <pivotArea dataOnly="0" labelOnly="1" outline="0" fieldPosition="0">
        <references count="1">
          <reference field="4294967294" count="1">
            <x v="0"/>
          </reference>
        </references>
      </pivotArea>
    </format>
    <format dxfId="121">
      <pivotArea type="all" dataOnly="0" outline="0" fieldPosition="0"/>
    </format>
    <format dxfId="120">
      <pivotArea outline="0" collapsedLevelsAreSubtotals="1" fieldPosition="0"/>
    </format>
    <format dxfId="119">
      <pivotArea dataOnly="0" labelOnly="1" fieldPosition="0">
        <references count="1">
          <reference field="5" count="0"/>
        </references>
      </pivotArea>
    </format>
    <format dxfId="118">
      <pivotArea dataOnly="0" labelOnly="1" grandRow="1" outline="0" fieldPosition="0"/>
    </format>
    <format dxfId="117">
      <pivotArea dataOnly="0" labelOnly="1" outline="0" fieldPosition="0">
        <references count="1">
          <reference field="4294967294" count="1">
            <x v="0"/>
          </reference>
        </references>
      </pivotArea>
    </format>
    <format dxfId="116">
      <pivotArea type="all" dataOnly="0" outline="0" fieldPosition="0"/>
    </format>
    <format dxfId="115">
      <pivotArea outline="0" collapsedLevelsAreSubtotals="1" fieldPosition="0"/>
    </format>
    <format dxfId="114">
      <pivotArea field="5" type="button" dataOnly="0" labelOnly="1" outline="0" axis="axisRow" fieldPosition="0"/>
    </format>
    <format dxfId="113">
      <pivotArea dataOnly="0" labelOnly="1" fieldPosition="0">
        <references count="1">
          <reference field="5" count="0"/>
        </references>
      </pivotArea>
    </format>
    <format dxfId="112">
      <pivotArea dataOnly="0" labelOnly="1" grandRow="1" outline="0" fieldPosition="0"/>
    </format>
    <format dxfId="111">
      <pivotArea dataOnly="0" labelOnly="1" outline="0" fieldPosition="0">
        <references count="1">
          <reference field="4294967294" count="1">
            <x v="0"/>
          </reference>
        </references>
      </pivotArea>
    </format>
    <format dxfId="110">
      <pivotArea type="all" dataOnly="0" outline="0" fieldPosition="0"/>
    </format>
    <format dxfId="109">
      <pivotArea outline="0" collapsedLevelsAreSubtotals="1" fieldPosition="0"/>
    </format>
    <format dxfId="108">
      <pivotArea field="5" type="button" dataOnly="0" labelOnly="1" outline="0" axis="axisRow" fieldPosition="0"/>
    </format>
    <format dxfId="107">
      <pivotArea dataOnly="0" labelOnly="1" fieldPosition="0">
        <references count="1">
          <reference field="5" count="0"/>
        </references>
      </pivotArea>
    </format>
    <format dxfId="106">
      <pivotArea dataOnly="0" labelOnly="1" grandRow="1" outline="0" fieldPosition="0"/>
    </format>
    <format dxfId="105">
      <pivotArea dataOnly="0" labelOnly="1" outline="0" fieldPosition="0">
        <references count="1">
          <reference field="4294967294" count="1">
            <x v="0"/>
          </reference>
        </references>
      </pivotArea>
    </format>
    <format dxfId="104">
      <pivotArea type="all" dataOnly="0" outline="0" fieldPosition="0"/>
    </format>
    <format dxfId="103">
      <pivotArea outline="0" collapsedLevelsAreSubtotals="1" fieldPosition="0"/>
    </format>
    <format dxfId="102">
      <pivotArea type="origin" dataOnly="0" labelOnly="1" outline="0" fieldPosition="0"/>
    </format>
    <format dxfId="101">
      <pivotArea field="6" type="button" dataOnly="0" labelOnly="1" outline="0" axis="axisCol" fieldPosition="0"/>
    </format>
    <format dxfId="100">
      <pivotArea type="topRight" dataOnly="0" labelOnly="1" outline="0" fieldPosition="0"/>
    </format>
    <format dxfId="99">
      <pivotArea field="5" type="button" dataOnly="0" labelOnly="1" outline="0" axis="axisRow" fieldPosition="0"/>
    </format>
    <format dxfId="98">
      <pivotArea dataOnly="0" labelOnly="1" fieldPosition="0">
        <references count="1">
          <reference field="5" count="0"/>
        </references>
      </pivotArea>
    </format>
    <format dxfId="97">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0" dataOnRows="1" applyNumberFormats="0" applyBorderFormats="0" applyFontFormats="0" applyPatternFormats="0" applyAlignmentFormats="0" applyWidthHeightFormats="1" dataCaption="Valeurs" updatedVersion="7" minRefreshableVersion="3" colGrandTotals="0" itemPrintTitles="1" createdVersion="6" indent="0" outline="1" outlineData="1" multipleFieldFilters="0">
  <location ref="M10:P20" firstHeaderRow="1" firstDataRow="2" firstDataCol="1"/>
  <pivotFields count="46">
    <pivotField showAll="0"/>
    <pivotField showAll="0"/>
    <pivotField showAll="0"/>
    <pivotField showAll="0" defaultSubtotal="0"/>
    <pivotField showAll="0"/>
    <pivotField axis="axisCol" showAll="0" sortType="ascending">
      <items count="4">
        <item x="0"/>
        <item x="1"/>
        <item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numFmtId="168" showAll="0"/>
    <pivotField numFmtId="168" showAll="0"/>
    <pivotField showAll="0"/>
    <pivotField showAll="0"/>
    <pivotField showAll="0"/>
    <pivotField showAll="0"/>
    <pivotField showAll="0"/>
    <pivotField showAll="0"/>
    <pivotField showAll="0"/>
    <pivotField dataField="1" numFmtId="168" showAll="0"/>
    <pivotField showAll="0"/>
    <pivotField numFmtId="9" showAll="0"/>
    <pivotField dataField="1" numFmtId="169" showAll="0"/>
    <pivotField dataField="1" numFmtId="169" showAll="0"/>
    <pivotField dataField="1" numFmtId="169" showAll="0"/>
    <pivotField dataField="1" numFmtId="169" showAll="0"/>
    <pivotField dataField="1" numFmtId="169" showAll="0"/>
    <pivotField numFmtId="169" showAll="0"/>
    <pivotField numFmtId="169" showAll="0"/>
    <pivotField numFmtId="169" showAll="0"/>
    <pivotField numFmtId="169" showAll="0"/>
    <pivotField dataField="1" numFmtId="169" showAll="0"/>
    <pivotField dataField="1" numFmtId="169" showAll="0"/>
    <pivotField dataField="1" numFmtId="169" showAll="0"/>
  </pivotFields>
  <rowFields count="1">
    <field x="-2"/>
  </rowFields>
  <rowItems count="9">
    <i>
      <x/>
    </i>
    <i i="1">
      <x v="1"/>
    </i>
    <i i="2">
      <x v="2"/>
    </i>
    <i i="3">
      <x v="3"/>
    </i>
    <i i="4">
      <x v="4"/>
    </i>
    <i i="5">
      <x v="5"/>
    </i>
    <i i="6">
      <x v="6"/>
    </i>
    <i i="7">
      <x v="7"/>
    </i>
    <i i="8">
      <x v="8"/>
    </i>
  </rowItems>
  <colFields count="1">
    <field x="5"/>
  </colFields>
  <colItems count="3">
    <i>
      <x/>
    </i>
    <i>
      <x v="1"/>
    </i>
    <i>
      <x v="2"/>
    </i>
  </colItems>
  <dataFields count="9">
    <dataField name="Somme de Total des coûts" fld="31" baseField="7" baseItem="1"/>
    <dataField name="Somme de Total coûts éligibles et retenus" fld="38" baseField="7" baseItem="0"/>
    <dataField name="Somme de Total coûts RI" fld="34" baseField="7" baseItem="0"/>
    <dataField name="Somme de Total coûts DE" fld="35" baseField="7" baseItem="0"/>
    <dataField name="Somme de Total coûts PE" fld="36" baseField="7" baseItem="0"/>
    <dataField name="Somme de Total coûts PE admissibles" fld="37" baseField="7" baseItem="0"/>
    <dataField name="Somme de Subventions" fld="43" baseField="7" baseItem="0"/>
    <dataField name="Somme de Avances remboursables" fld="44" baseField="7" baseItem="0"/>
    <dataField name="Somme de Aide totale" fld="45" baseField="7" baseItem="0"/>
  </dataFields>
  <formats count="24">
    <format dxfId="185">
      <pivotArea type="all" dataOnly="0" outline="0" fieldPosition="0"/>
    </format>
    <format dxfId="184">
      <pivotArea outline="0" collapsedLevelsAreSubtotals="1" fieldPosition="0"/>
    </format>
    <format dxfId="183">
      <pivotArea type="origin" dataOnly="0" labelOnly="1" outline="0" fieldPosition="0"/>
    </format>
    <format dxfId="182">
      <pivotArea field="5" type="button" dataOnly="0" labelOnly="1" outline="0" axis="axisCol" fieldPosition="0"/>
    </format>
    <format dxfId="181">
      <pivotArea type="topRight" dataOnly="0" labelOnly="1" outline="0" fieldPosition="0"/>
    </format>
    <format dxfId="180">
      <pivotArea field="-2" type="button" dataOnly="0" labelOnly="1" outline="0" axis="axisRow" fieldPosition="0"/>
    </format>
    <format dxfId="179">
      <pivotArea dataOnly="0" labelOnly="1" outline="0" fieldPosition="0">
        <references count="1">
          <reference field="4294967294" count="9">
            <x v="0"/>
            <x v="1"/>
            <x v="2"/>
            <x v="3"/>
            <x v="4"/>
            <x v="5"/>
            <x v="6"/>
            <x v="7"/>
            <x v="8"/>
          </reference>
        </references>
      </pivotArea>
    </format>
    <format dxfId="178">
      <pivotArea dataOnly="0" labelOnly="1" fieldPosition="0">
        <references count="1">
          <reference field="5" count="0"/>
        </references>
      </pivotArea>
    </format>
    <format dxfId="177">
      <pivotArea type="all" dataOnly="0" outline="0" fieldPosition="0"/>
    </format>
    <format dxfId="176">
      <pivotArea outline="0" collapsedLevelsAreSubtotals="1" fieldPosition="0"/>
    </format>
    <format dxfId="175">
      <pivotArea type="origin" dataOnly="0" labelOnly="1" outline="0" fieldPosition="0"/>
    </format>
    <format dxfId="174">
      <pivotArea field="5" type="button" dataOnly="0" labelOnly="1" outline="0" axis="axisCol" fieldPosition="0"/>
    </format>
    <format dxfId="173">
      <pivotArea type="topRight" dataOnly="0" labelOnly="1" outline="0" fieldPosition="0"/>
    </format>
    <format dxfId="172">
      <pivotArea field="-2" type="button" dataOnly="0" labelOnly="1" outline="0" axis="axisRow" fieldPosition="0"/>
    </format>
    <format dxfId="171">
      <pivotArea dataOnly="0" labelOnly="1" outline="0" fieldPosition="0">
        <references count="1">
          <reference field="4294967294" count="9">
            <x v="0"/>
            <x v="1"/>
            <x v="2"/>
            <x v="3"/>
            <x v="4"/>
            <x v="5"/>
            <x v="6"/>
            <x v="7"/>
            <x v="8"/>
          </reference>
        </references>
      </pivotArea>
    </format>
    <format dxfId="170">
      <pivotArea dataOnly="0" labelOnly="1" fieldPosition="0">
        <references count="1">
          <reference field="5" count="0"/>
        </references>
      </pivotArea>
    </format>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5" type="button" dataOnly="0" labelOnly="1" outline="0" axis="axisCol" fieldPosition="0"/>
    </format>
    <format dxfId="165">
      <pivotArea type="topRight" dataOnly="0" labelOnly="1" outline="0" fieldPosition="0"/>
    </format>
    <format dxfId="164">
      <pivotArea field="-2" type="button" dataOnly="0" labelOnly="1" outline="0" axis="axisRow" fieldPosition="0"/>
    </format>
    <format dxfId="163">
      <pivotArea dataOnly="0" labelOnly="1" outline="0" fieldPosition="0">
        <references count="1">
          <reference field="4294967294" count="9">
            <x v="0"/>
            <x v="1"/>
            <x v="2"/>
            <x v="3"/>
            <x v="4"/>
            <x v="5"/>
            <x v="6"/>
            <x v="7"/>
            <x v="8"/>
          </reference>
        </references>
      </pivotArea>
    </format>
    <format dxfId="162">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B1:K32"/>
  <sheetViews>
    <sheetView showGridLines="0" topLeftCell="B1" zoomScaleNormal="100" workbookViewId="0">
      <pane ySplit="4" topLeftCell="A5" activePane="bottomLeft" state="frozen"/>
      <selection pane="bottomLeft" activeCell="C4" sqref="C4"/>
    </sheetView>
  </sheetViews>
  <sheetFormatPr baseColWidth="10" defaultColWidth="9.1796875" defaultRowHeight="14.5" x14ac:dyDescent="0.35"/>
  <cols>
    <col min="1" max="1" width="9.1796875" style="1"/>
    <col min="2" max="2" width="19.81640625" style="1" customWidth="1"/>
    <col min="3" max="3" width="139.81640625" style="1" customWidth="1"/>
    <col min="4" max="5" width="19.1796875" style="1" customWidth="1"/>
    <col min="6" max="6" width="37" style="1" bestFit="1" customWidth="1"/>
    <col min="7" max="16384" width="9.1796875" style="1"/>
  </cols>
  <sheetData>
    <row r="1" spans="2:11" x14ac:dyDescent="0.35">
      <c r="B1" s="3"/>
      <c r="C1" s="3"/>
      <c r="D1" s="3"/>
      <c r="E1" s="3"/>
      <c r="F1" s="3"/>
      <c r="G1" s="3"/>
      <c r="H1" s="3"/>
      <c r="I1" s="3"/>
      <c r="J1" s="3"/>
      <c r="K1" s="3"/>
    </row>
    <row r="2" spans="2:11" ht="23.5" x14ac:dyDescent="0.35">
      <c r="B2" s="11"/>
      <c r="C2" s="11" t="s">
        <v>5</v>
      </c>
      <c r="D2" s="10"/>
      <c r="E2" s="10"/>
      <c r="F2" s="10"/>
      <c r="G2" s="10"/>
      <c r="H2" s="10"/>
      <c r="I2" s="10"/>
      <c r="J2" s="10"/>
      <c r="K2" s="10"/>
    </row>
    <row r="3" spans="2:11" x14ac:dyDescent="0.35">
      <c r="B3" s="9"/>
      <c r="C3" s="9" t="s">
        <v>341</v>
      </c>
      <c r="K3" s="3"/>
    </row>
    <row r="4" spans="2:11" x14ac:dyDescent="0.35">
      <c r="B4" s="9"/>
      <c r="C4" s="9"/>
      <c r="K4" s="3"/>
    </row>
    <row r="5" spans="2:11" ht="18.5" x14ac:dyDescent="0.35">
      <c r="B5" s="4" t="s">
        <v>4</v>
      </c>
      <c r="C5" s="4"/>
      <c r="K5" s="3"/>
    </row>
    <row r="6" spans="2:11" ht="15.5" x14ac:dyDescent="0.35">
      <c r="B6" s="8"/>
      <c r="C6" s="5" t="s">
        <v>3</v>
      </c>
      <c r="K6" s="3"/>
    </row>
    <row r="7" spans="2:11" ht="15.5" x14ac:dyDescent="0.35">
      <c r="B7" s="7"/>
      <c r="C7" s="5" t="s">
        <v>2</v>
      </c>
      <c r="K7" s="3"/>
    </row>
    <row r="8" spans="2:11" ht="15.5" x14ac:dyDescent="0.35">
      <c r="B8" s="6"/>
      <c r="C8" s="5" t="s">
        <v>1</v>
      </c>
      <c r="K8" s="3"/>
    </row>
    <row r="9" spans="2:11" ht="15.5" x14ac:dyDescent="0.35">
      <c r="B9" s="5"/>
      <c r="C9" s="5"/>
      <c r="K9" s="3"/>
    </row>
    <row r="10" spans="2:11" x14ac:dyDescent="0.35">
      <c r="B10" s="3"/>
      <c r="C10" s="3"/>
      <c r="K10" s="3"/>
    </row>
    <row r="11" spans="2:11" ht="18.5" x14ac:dyDescent="0.35">
      <c r="B11" s="4" t="s">
        <v>0</v>
      </c>
      <c r="C11" s="4"/>
      <c r="K11" s="3"/>
    </row>
    <row r="12" spans="2:11" x14ac:dyDescent="0.35">
      <c r="B12" s="3"/>
      <c r="C12" s="3"/>
      <c r="K12" s="2"/>
    </row>
    <row r="31" spans="2:3" ht="18.5" x14ac:dyDescent="0.35">
      <c r="B31" s="317" t="s">
        <v>278</v>
      </c>
      <c r="C31" s="317"/>
    </row>
    <row r="32" spans="2:3" ht="201.5" customHeight="1" x14ac:dyDescent="0.35">
      <c r="B32" s="318" t="s">
        <v>300</v>
      </c>
      <c r="C32" s="318"/>
    </row>
  </sheetData>
  <mergeCells count="2">
    <mergeCell ref="B31:C31"/>
    <mergeCell ref="B32:C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B22"/>
  <sheetViews>
    <sheetView showGridLines="0" zoomScale="70" zoomScaleNormal="70" workbookViewId="0">
      <selection activeCell="B5" sqref="B5"/>
    </sheetView>
  </sheetViews>
  <sheetFormatPr baseColWidth="10" defaultColWidth="11.453125" defaultRowHeight="18.5" x14ac:dyDescent="0.45"/>
  <cols>
    <col min="1" max="1" width="26.7265625" style="22" customWidth="1"/>
    <col min="2" max="2" width="216.7265625" style="21" customWidth="1"/>
    <col min="3" max="16384" width="11.453125" style="21"/>
  </cols>
  <sheetData>
    <row r="1" spans="1:2" x14ac:dyDescent="0.45">
      <c r="A1" s="46" t="s">
        <v>36</v>
      </c>
      <c r="B1" s="46"/>
    </row>
    <row r="2" spans="1:2" ht="140.5" x14ac:dyDescent="0.45">
      <c r="A2" s="25" t="s">
        <v>35</v>
      </c>
      <c r="B2" s="23" t="s">
        <v>273</v>
      </c>
    </row>
    <row r="3" spans="1:2" ht="228" x14ac:dyDescent="0.45">
      <c r="A3" s="25" t="s">
        <v>34</v>
      </c>
      <c r="B3" s="23" t="s">
        <v>272</v>
      </c>
    </row>
    <row r="4" spans="1:2" ht="332.5" hidden="1" x14ac:dyDescent="0.45">
      <c r="A4" s="25" t="s">
        <v>33</v>
      </c>
      <c r="B4" s="23" t="s">
        <v>32</v>
      </c>
    </row>
    <row r="5" spans="1:2" ht="52.5" x14ac:dyDescent="0.45">
      <c r="A5" s="25" t="s">
        <v>279</v>
      </c>
      <c r="B5" s="272" t="s">
        <v>296</v>
      </c>
    </row>
    <row r="7" spans="1:2" x14ac:dyDescent="0.45">
      <c r="B7" s="24"/>
    </row>
    <row r="8" spans="1:2" ht="55.5" x14ac:dyDescent="0.45">
      <c r="A8" s="47" t="s">
        <v>31</v>
      </c>
      <c r="B8" s="46"/>
    </row>
    <row r="9" spans="1:2" ht="123" x14ac:dyDescent="0.45">
      <c r="A9" s="25" t="s">
        <v>30</v>
      </c>
      <c r="B9" s="23" t="s">
        <v>29</v>
      </c>
    </row>
    <row r="10" spans="1:2" ht="122.5" x14ac:dyDescent="0.45">
      <c r="A10" s="25" t="s">
        <v>28</v>
      </c>
      <c r="B10" s="23" t="s">
        <v>27</v>
      </c>
    </row>
    <row r="11" spans="1:2" ht="105" x14ac:dyDescent="0.45">
      <c r="A11" s="25" t="s">
        <v>26</v>
      </c>
      <c r="B11" s="23" t="s">
        <v>25</v>
      </c>
    </row>
    <row r="12" spans="1:2" ht="105" x14ac:dyDescent="0.45">
      <c r="A12" s="25" t="s">
        <v>24</v>
      </c>
      <c r="B12" s="23" t="s">
        <v>297</v>
      </c>
    </row>
    <row r="13" spans="1:2" ht="136.5" customHeight="1" x14ac:dyDescent="0.45">
      <c r="A13" s="25" t="s">
        <v>23</v>
      </c>
      <c r="B13" s="23" t="s">
        <v>22</v>
      </c>
    </row>
    <row r="14" spans="1:2" ht="35" x14ac:dyDescent="0.45">
      <c r="A14" s="25" t="s">
        <v>21</v>
      </c>
      <c r="B14" s="23" t="s">
        <v>20</v>
      </c>
    </row>
    <row r="15" spans="1:2" ht="36" x14ac:dyDescent="0.45">
      <c r="A15" s="25" t="s">
        <v>282</v>
      </c>
      <c r="B15" s="23" t="s">
        <v>283</v>
      </c>
    </row>
    <row r="16" spans="1:2" ht="70" x14ac:dyDescent="0.45">
      <c r="A16" s="25" t="s">
        <v>19</v>
      </c>
      <c r="B16" s="23" t="s">
        <v>18</v>
      </c>
    </row>
    <row r="19" spans="1:2" ht="37" x14ac:dyDescent="0.45">
      <c r="A19" s="47" t="s">
        <v>17</v>
      </c>
      <c r="B19" s="46"/>
    </row>
    <row r="20" spans="1:2" ht="405.75" customHeight="1" x14ac:dyDescent="0.45">
      <c r="A20" s="25" t="s">
        <v>16</v>
      </c>
      <c r="B20" s="22" t="s">
        <v>15</v>
      </c>
    </row>
    <row r="22" spans="1:2" ht="228" customHeight="1" x14ac:dyDescent="0.45">
      <c r="A22" s="25" t="s">
        <v>95</v>
      </c>
      <c r="B22" s="22" t="s">
        <v>195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N21"/>
  <sheetViews>
    <sheetView showGridLines="0" tabSelected="1" zoomScale="50" zoomScaleNormal="50" workbookViewId="0">
      <selection activeCell="K4" sqref="K4"/>
    </sheetView>
  </sheetViews>
  <sheetFormatPr baseColWidth="10" defaultRowHeight="14.5" x14ac:dyDescent="0.35"/>
  <cols>
    <col min="1" max="1" width="40.7265625" customWidth="1"/>
    <col min="2" max="6" width="24.7265625" customWidth="1"/>
    <col min="7" max="7" width="33.54296875" customWidth="1"/>
    <col min="8" max="8" width="19.1796875" customWidth="1"/>
    <col min="9" max="9" width="30.81640625" customWidth="1"/>
    <col min="10" max="10" width="47.36328125" customWidth="1"/>
    <col min="11" max="11" width="24" customWidth="1"/>
    <col min="12" max="14" width="19.1796875" customWidth="1"/>
  </cols>
  <sheetData>
    <row r="1" spans="1:14" ht="33" customHeight="1" x14ac:dyDescent="0.35">
      <c r="A1" s="70" t="s">
        <v>99</v>
      </c>
      <c r="B1" s="71"/>
      <c r="C1" s="71"/>
      <c r="D1" s="71"/>
      <c r="E1" s="71"/>
      <c r="F1" s="72"/>
      <c r="G1" s="50" t="s">
        <v>292</v>
      </c>
      <c r="H1" s="48"/>
      <c r="I1" s="48"/>
      <c r="J1" s="48"/>
      <c r="K1" s="48"/>
      <c r="L1" s="48"/>
      <c r="M1" s="49"/>
      <c r="N1" s="49"/>
    </row>
    <row r="2" spans="1:14" x14ac:dyDescent="0.35">
      <c r="A2" s="73"/>
      <c r="B2" s="73"/>
      <c r="C2" s="74"/>
      <c r="D2" s="74"/>
      <c r="E2" s="74"/>
      <c r="F2" s="76"/>
      <c r="G2" s="29" t="s">
        <v>249</v>
      </c>
      <c r="H2" s="29" t="s">
        <v>85</v>
      </c>
      <c r="I2" s="29" t="s">
        <v>204</v>
      </c>
      <c r="J2" s="29" t="s">
        <v>84</v>
      </c>
      <c r="K2" s="29" t="s">
        <v>83</v>
      </c>
      <c r="L2" s="29" t="s">
        <v>82</v>
      </c>
      <c r="M2" s="199" t="s">
        <v>81</v>
      </c>
      <c r="N2" s="29" t="s">
        <v>293</v>
      </c>
    </row>
    <row r="3" spans="1:14" ht="25" x14ac:dyDescent="0.35">
      <c r="A3" s="75" t="s">
        <v>98</v>
      </c>
      <c r="B3" s="33" t="s">
        <v>154</v>
      </c>
      <c r="C3" s="76"/>
      <c r="D3" s="76"/>
      <c r="E3" s="76"/>
      <c r="F3" s="76"/>
      <c r="G3" s="273" t="s">
        <v>80</v>
      </c>
      <c r="H3" s="273" t="s">
        <v>79</v>
      </c>
      <c r="I3" s="274" t="s">
        <v>77</v>
      </c>
      <c r="J3" s="275" t="s">
        <v>203</v>
      </c>
      <c r="K3" s="276">
        <v>0.65</v>
      </c>
      <c r="L3" s="276">
        <v>0.4</v>
      </c>
      <c r="M3" s="276">
        <v>0.4</v>
      </c>
      <c r="N3" s="276">
        <v>0.15000000000000002</v>
      </c>
    </row>
    <row r="4" spans="1:14" ht="25" x14ac:dyDescent="0.35">
      <c r="A4" s="75" t="s">
        <v>97</v>
      </c>
      <c r="B4" s="34" t="s">
        <v>155</v>
      </c>
      <c r="C4" s="76"/>
      <c r="D4" s="76"/>
      <c r="E4" s="76"/>
      <c r="F4" s="76"/>
      <c r="G4" s="273" t="s">
        <v>80</v>
      </c>
      <c r="H4" s="273" t="s">
        <v>78</v>
      </c>
      <c r="I4" s="274" t="s">
        <v>77</v>
      </c>
      <c r="J4" s="275" t="s">
        <v>203</v>
      </c>
      <c r="K4" s="276">
        <v>0.75</v>
      </c>
      <c r="L4" s="276">
        <v>0.5</v>
      </c>
      <c r="M4" s="276">
        <v>0.5</v>
      </c>
      <c r="N4" s="276">
        <v>0.25</v>
      </c>
    </row>
    <row r="5" spans="1:14" ht="25" x14ac:dyDescent="0.35">
      <c r="A5" s="75" t="s">
        <v>96</v>
      </c>
      <c r="B5" s="34">
        <v>36</v>
      </c>
      <c r="C5" s="76"/>
      <c r="D5" s="76"/>
      <c r="E5" s="76"/>
      <c r="F5" s="76"/>
      <c r="G5" s="273" t="s">
        <v>80</v>
      </c>
      <c r="H5" s="273" t="s">
        <v>75</v>
      </c>
      <c r="I5" s="274" t="s">
        <v>77</v>
      </c>
      <c r="J5" s="275" t="s">
        <v>203</v>
      </c>
      <c r="K5" s="276">
        <v>0.8</v>
      </c>
      <c r="L5" s="276">
        <v>0.6</v>
      </c>
      <c r="M5" s="276">
        <v>0.6</v>
      </c>
      <c r="N5" s="276">
        <v>0.35</v>
      </c>
    </row>
    <row r="6" spans="1:14" ht="25" x14ac:dyDescent="0.35">
      <c r="A6" s="77" t="s">
        <v>146</v>
      </c>
      <c r="B6" s="53">
        <v>44593</v>
      </c>
      <c r="C6" s="76"/>
      <c r="D6" s="76"/>
      <c r="E6" s="76"/>
      <c r="F6" s="76"/>
      <c r="G6" s="27" t="s">
        <v>76</v>
      </c>
      <c r="H6" s="27" t="s">
        <v>79</v>
      </c>
      <c r="I6" s="26" t="s">
        <v>77</v>
      </c>
      <c r="J6" s="57" t="s">
        <v>203</v>
      </c>
      <c r="K6" s="28">
        <v>0.5</v>
      </c>
      <c r="L6" s="28">
        <v>0.25</v>
      </c>
      <c r="M6" s="28">
        <v>0.4</v>
      </c>
      <c r="N6" s="28">
        <v>0.15000000000000002</v>
      </c>
    </row>
    <row r="7" spans="1:14" ht="29" x14ac:dyDescent="0.35">
      <c r="A7" s="75" t="s">
        <v>248</v>
      </c>
      <c r="B7" s="34" t="s">
        <v>80</v>
      </c>
      <c r="C7" s="78" t="s">
        <v>194</v>
      </c>
      <c r="D7" s="76"/>
      <c r="E7" s="76"/>
      <c r="F7" s="76"/>
      <c r="G7" s="27" t="s">
        <v>76</v>
      </c>
      <c r="H7" s="27" t="s">
        <v>78</v>
      </c>
      <c r="I7" s="26" t="s">
        <v>77</v>
      </c>
      <c r="J7" s="57" t="s">
        <v>203</v>
      </c>
      <c r="K7" s="28">
        <v>0.6</v>
      </c>
      <c r="L7" s="28">
        <v>0.35</v>
      </c>
      <c r="M7" s="28">
        <v>0.5</v>
      </c>
      <c r="N7" s="28">
        <v>0.25</v>
      </c>
    </row>
    <row r="8" spans="1:14" ht="73" customHeight="1" x14ac:dyDescent="0.35">
      <c r="A8" s="76"/>
      <c r="B8" s="76"/>
      <c r="C8" s="76"/>
      <c r="D8" s="76"/>
      <c r="E8" s="76"/>
      <c r="F8" s="76"/>
      <c r="G8" s="27" t="s">
        <v>76</v>
      </c>
      <c r="H8" s="27" t="s">
        <v>75</v>
      </c>
      <c r="I8" s="26" t="s">
        <v>77</v>
      </c>
      <c r="J8" s="57" t="s">
        <v>203</v>
      </c>
      <c r="K8" s="28">
        <v>0.7</v>
      </c>
      <c r="L8" s="28">
        <v>0.44999999999999996</v>
      </c>
      <c r="M8" s="28">
        <v>0.6</v>
      </c>
      <c r="N8" s="28">
        <v>0.35</v>
      </c>
    </row>
    <row r="9" spans="1:14" ht="15.5" x14ac:dyDescent="0.35">
      <c r="A9" s="74"/>
      <c r="B9" s="79" t="s">
        <v>94</v>
      </c>
      <c r="C9" s="79"/>
      <c r="D9" s="79"/>
      <c r="E9" s="79"/>
      <c r="F9" s="79"/>
    </row>
    <row r="10" spans="1:14" ht="27" customHeight="1" x14ac:dyDescent="0.35">
      <c r="A10" s="80" t="s">
        <v>93</v>
      </c>
      <c r="B10" s="33" t="s">
        <v>218</v>
      </c>
      <c r="C10" s="33" t="s">
        <v>219</v>
      </c>
      <c r="D10" s="33"/>
      <c r="E10" s="33"/>
      <c r="F10" s="33"/>
      <c r="G10" s="30"/>
    </row>
    <row r="11" spans="1:14" ht="27" customHeight="1" x14ac:dyDescent="0.35">
      <c r="A11" s="80" t="s">
        <v>92</v>
      </c>
      <c r="B11" s="33" t="s">
        <v>78</v>
      </c>
      <c r="C11" s="33" t="s">
        <v>79</v>
      </c>
      <c r="D11" s="33"/>
      <c r="E11" s="33"/>
      <c r="F11" s="33"/>
      <c r="G11" s="30"/>
    </row>
    <row r="12" spans="1:14" ht="27" customHeight="1" x14ac:dyDescent="0.35">
      <c r="A12" s="80" t="s">
        <v>152</v>
      </c>
      <c r="B12" s="33">
        <v>100</v>
      </c>
      <c r="C12" s="33">
        <v>10</v>
      </c>
      <c r="D12" s="33"/>
      <c r="E12" s="33"/>
      <c r="F12" s="33"/>
      <c r="G12" s="30"/>
    </row>
    <row r="13" spans="1:14" ht="27" customHeight="1" x14ac:dyDescent="0.35">
      <c r="A13" s="80" t="s">
        <v>91</v>
      </c>
      <c r="B13" s="32" t="s">
        <v>77</v>
      </c>
      <c r="C13" s="32" t="s">
        <v>77</v>
      </c>
      <c r="D13" s="32" t="s">
        <v>77</v>
      </c>
      <c r="E13" s="32" t="s">
        <v>77</v>
      </c>
      <c r="F13" s="32" t="s">
        <v>77</v>
      </c>
      <c r="G13" s="30"/>
    </row>
    <row r="14" spans="1:14" ht="27" customHeight="1" x14ac:dyDescent="0.35">
      <c r="A14" s="80" t="s">
        <v>90</v>
      </c>
      <c r="B14" s="283">
        <v>0.4</v>
      </c>
      <c r="C14" s="283">
        <v>0.4</v>
      </c>
      <c r="D14" s="283">
        <v>0.4</v>
      </c>
      <c r="E14" s="283">
        <v>0.4</v>
      </c>
      <c r="F14" s="283">
        <v>0.4</v>
      </c>
      <c r="G14" s="31" t="s">
        <v>196</v>
      </c>
    </row>
    <row r="15" spans="1:14" ht="27" customHeight="1" x14ac:dyDescent="0.35">
      <c r="A15" s="80" t="s">
        <v>89</v>
      </c>
      <c r="B15" s="81">
        <f>IF(B$11="ER 100%*coûts marginaux",100%,IF(B$11="ER 50%*coûts complets",50%,IF(SUMIFS($K$3:$K$8,$G$3:$G$8,$B$7,$H$3:$H$8,B$11,$I$3:$I$8,B$13)=0,"Erreur de paramétrage",SUMIFS($K$3:$K$8,$G$3:$G$8,$B$7,$H$3:$H$8,B$11,$I$3:$I$8,B$13))))</f>
        <v>0.75</v>
      </c>
      <c r="C15" s="81">
        <f t="shared" ref="C15:F15" si="0">IF(C$11="ER 100%*coûts marginaux",100%,IF(C$11="ER 50%*coûts complets",50%,IF(SUMIFS($K$3:$K$8,$G$3:$G$8,$B$7,$H$3:$H$8,C$11,$I$3:$I$8,C$13)=0,"Erreur de paramétrage",SUMIFS($K$3:$K$8,$G$3:$G$8,$B$7,$H$3:$H$8,C$11,$I$3:$I$8,C$13))))</f>
        <v>0.65</v>
      </c>
      <c r="D15" s="81" t="str">
        <f t="shared" si="0"/>
        <v>Erreur de paramétrage</v>
      </c>
      <c r="E15" s="81" t="str">
        <f t="shared" si="0"/>
        <v>Erreur de paramétrage</v>
      </c>
      <c r="F15" s="81" t="str">
        <f t="shared" si="0"/>
        <v>Erreur de paramétrage</v>
      </c>
      <c r="G15" s="31" t="s">
        <v>196</v>
      </c>
    </row>
    <row r="16" spans="1:14" ht="27" customHeight="1" x14ac:dyDescent="0.35">
      <c r="A16" s="80" t="s">
        <v>88</v>
      </c>
      <c r="B16" s="81">
        <f>IF(B$11="ER 100%*coûts marginaux",100%,IF(B$11="ER 50%*coûts complets",50%,IF(SUMIFS($L$3:$L$8,$G$3:$G$8,$B$7,$H$3:$H$8,B$11,$I$3:$I$8,B$13)=0,"Erreur de paramétrage",SUMIFS($L$3:$L$8,$G$3:$G$8,$B$7,$H$3:$H$8,B$11,$I$3:$I$8,B$13))))</f>
        <v>0.5</v>
      </c>
      <c r="C16" s="81">
        <f t="shared" ref="C16:F16" si="1">IF(C$11="ER 100%*coûts marginaux",100%,IF(C$11="ER 50%*coûts complets",50%,IF(SUMIFS($L$3:$L$8,$G$3:$G$8,$B$7,$H$3:$H$8,C$11,$I$3:$I$8,C$13)=0,"Erreur de paramétrage",SUMIFS($L$3:$L$8,$G$3:$G$8,$B$7,$H$3:$H$8,C$11,$I$3:$I$8,C$13))))</f>
        <v>0.4</v>
      </c>
      <c r="D16" s="81" t="str">
        <f t="shared" si="1"/>
        <v>Erreur de paramétrage</v>
      </c>
      <c r="E16" s="81" t="str">
        <f t="shared" si="1"/>
        <v>Erreur de paramétrage</v>
      </c>
      <c r="F16" s="81" t="str">
        <f t="shared" si="1"/>
        <v>Erreur de paramétrage</v>
      </c>
      <c r="G16" s="31" t="s">
        <v>196</v>
      </c>
    </row>
    <row r="17" spans="1:7" ht="27" customHeight="1" x14ac:dyDescent="0.35">
      <c r="A17" s="80" t="s">
        <v>280</v>
      </c>
      <c r="B17" s="81">
        <f>IF(B$11="ER 100%*coûts marginaux",100%,IF(B$11="ER 50%*coûts complets",50%,IF(SUMIFS($N$3:$N$8,$G$3:$G$8,$B$7,$H$3:$H$8,B$11,$I$3:$I$8,B$13)=0,"Erreur de paramétrage",SUMIFS($N$3:$N$8,$G$3:$G$8,$B$7,$H$3:$H$8,B$11,$I$3:$I$8,B$13))))</f>
        <v>0.25</v>
      </c>
      <c r="C17" s="81">
        <f t="shared" ref="C17:F17" si="2">IF(C$11="ER 100%*coûts marginaux",100%,IF(C$11="ER 50%*coûts complets",50%,IF(SUMIFS($N$3:$N$8,$G$3:$G$8,$B$7,$H$3:$H$8,C$11,$I$3:$I$8,C$13)=0,"Erreur de paramétrage",SUMIFS($N$3:$N$8,$G$3:$G$8,$B$7,$H$3:$H$8,C$11,$I$3:$I$8,C$13))))</f>
        <v>0.15000000000000002</v>
      </c>
      <c r="D17" s="81" t="str">
        <f t="shared" si="2"/>
        <v>Erreur de paramétrage</v>
      </c>
      <c r="E17" s="81" t="str">
        <f t="shared" si="2"/>
        <v>Erreur de paramétrage</v>
      </c>
      <c r="F17" s="81" t="str">
        <f t="shared" si="2"/>
        <v>Erreur de paramétrage</v>
      </c>
      <c r="G17" s="31" t="s">
        <v>196</v>
      </c>
    </row>
    <row r="18" spans="1:7" ht="27" customHeight="1" x14ac:dyDescent="0.35">
      <c r="A18" s="197" t="s">
        <v>87</v>
      </c>
      <c r="B18" s="284">
        <f>IF(B$11="ER 100%*coûts marginaux",100%,IF(B$11="ER 50%*coûts complets",50%,IF(SUMIFS($M$3:$M$8,$G$3:$G$8,$B$7,$H$3:$H$8,B$11,$I$3:$I$8,B$13)=0,"Erreur de paramétrage",SUMIFS($M$3:$M$8,$G$3:$G$8,$B$7,$H$3:$H$8,B$11,$I$3:$I$8,B$13))))</f>
        <v>0.5</v>
      </c>
      <c r="C18" s="284">
        <f t="shared" ref="C18:F18" si="3">IF(C$11="ER 100%*coûts marginaux",100%,IF(C$11="ER 50%*coûts complets",50%,IF(SUMIFS($M$3:$M$8,$G$3:$G$8,$B$7,$H$3:$H$8,C$11,$I$3:$I$8,C$13)=0,"Erreur de paramétrage",SUMIFS($M$3:$M$8,$G$3:$G$8,$B$7,$H$3:$H$8,C$11,$I$3:$I$8,C$13))))</f>
        <v>0.4</v>
      </c>
      <c r="D18" s="284" t="str">
        <f t="shared" si="3"/>
        <v>Erreur de paramétrage</v>
      </c>
      <c r="E18" s="284" t="str">
        <f t="shared" si="3"/>
        <v>Erreur de paramétrage</v>
      </c>
      <c r="F18" s="284" t="str">
        <f t="shared" si="3"/>
        <v>Erreur de paramétrage</v>
      </c>
      <c r="G18" s="31" t="s">
        <v>196</v>
      </c>
    </row>
    <row r="19" spans="1:7" ht="27" customHeight="1" x14ac:dyDescent="0.35">
      <c r="A19" s="197" t="s">
        <v>208</v>
      </c>
      <c r="B19" s="278">
        <v>1000</v>
      </c>
      <c r="C19" s="279"/>
      <c r="D19" s="279"/>
      <c r="E19" s="279"/>
      <c r="F19" s="279"/>
      <c r="G19" s="30"/>
    </row>
    <row r="20" spans="1:7" ht="27" customHeight="1" x14ac:dyDescent="0.35">
      <c r="A20" s="197" t="s">
        <v>86</v>
      </c>
      <c r="B20" s="198">
        <f>SUMIFS(BdD!$AL$10:$AL$1098, BdD!$F$10:$F$1098,B10, BdD!$AG$10:$AG$1098,"PE")</f>
        <v>100000</v>
      </c>
      <c r="C20" s="198">
        <f>SUMIFS(BdD!$AL$10:$AL$1098, BdD!$F$10:$F$1098,C10, BdD!$AG$10:$AG$1098,"PE")</f>
        <v>0</v>
      </c>
      <c r="D20" s="198">
        <f>SUMIFS(BdD!$AL$10:$AL$1098, BdD!$F$10:$F$1098,D10, BdD!$AG$10:$AG$1098,"PE")</f>
        <v>0</v>
      </c>
      <c r="E20" s="198">
        <f>SUMIFS(BdD!$AL$10:$AL$1098, BdD!$F$10:$F$1098,E10, BdD!$AG$10:$AG$1098,"PE")</f>
        <v>0</v>
      </c>
      <c r="F20" s="198">
        <f>SUMIFS(BdD!$AL$10:$AL$1098, BdD!$F$10:$F$1098,F10, BdD!$AG$10:$AG$1098,"PE")</f>
        <v>0</v>
      </c>
      <c r="G20" s="30"/>
    </row>
    <row r="21" spans="1:7" ht="27" customHeight="1" x14ac:dyDescent="0.35">
      <c r="A21" s="197" t="s">
        <v>206</v>
      </c>
      <c r="B21" s="277">
        <f>IF(B19="","",SUMIFS( BdD!$AU$10:$AU$1098, BdD!$F$10:$F$1098,B10, BdD!$AG$10:$AG$1098,"PE")/SUMIFS( BdD!$AL$10:$AL$1098, BdD!$F$10:$F$1098,B10, BdD!$AG$10:$AG$1098,"PE"))</f>
        <v>0.49975000000000003</v>
      </c>
      <c r="C21" s="277" t="str">
        <f>IF(C19="","",SUMIFS( BdD!$AU$10:$AU$1098, BdD!$F$10:$F$1098,C10, BdD!$AG$10:$AG$1098,"PE")/SUMIFS( BdD!$AL$10:$AL$1098, BdD!$F$10:$F$1098,C10, BdD!$AG$10:$AG$1098,"PE"))</f>
        <v/>
      </c>
      <c r="D21" s="277" t="str">
        <f>IF(D19="","",SUMIFS( BdD!$AU$10:$AU$1098, BdD!$F$10:$F$1098,D10, BdD!$AG$10:$AG$1098,"PE")/SUMIFS( BdD!$AL$10:$AL$1098, BdD!$F$10:$F$1098,D10, BdD!$AG$10:$AG$1098,"PE"))</f>
        <v/>
      </c>
      <c r="E21" s="277" t="str">
        <f>IF(E19="","",SUMIFS( BdD!$AU$10:$AU$1098, BdD!$F$10:$F$1098,E10, BdD!$AG$10:$AG$1098,"PE")/SUMIFS( BdD!$AL$10:$AL$1098, BdD!$F$10:$F$1098,E10, BdD!$AG$10:$AG$1098,"PE"))</f>
        <v/>
      </c>
      <c r="F21" s="277" t="str">
        <f>IF(F19="","",SUMIFS( BdD!$AU$10:$AU$1098, BdD!$F$10:$F$1098,F10, BdD!$AG$10:$AG$1098,"PE")/SUMIFS( BdD!$AL$10:$AL$1098, BdD!$F$10:$F$1098,F10, BdD!$AG$10:$AG$1098,"PE"))</f>
        <v/>
      </c>
      <c r="G21" s="30"/>
    </row>
  </sheetData>
  <sheetProtection formatCells="0" formatColumns="0" formatRows="0" insertColumns="0" insertRows="0" insertHyperlinks="0" deleteColumns="0" deleteRows="0" sort="0" autoFilter="0" pivotTables="0"/>
  <conditionalFormatting sqref="B3 B10:F12">
    <cfRule type="containsBlanks" dxfId="96" priority="3">
      <formula>LEN(TRIM(B3))=0</formula>
    </cfRule>
  </conditionalFormatting>
  <conditionalFormatting sqref="B4:B7">
    <cfRule type="containsBlanks" dxfId="95" priority="2">
      <formula>LEN(TRIM(B4))=0</formula>
    </cfRule>
  </conditionalFormatting>
  <dataValidations count="3">
    <dataValidation type="list" allowBlank="1" showInputMessage="1" showErrorMessage="1" sqref="B13:F13" xr:uid="{00000000-0002-0000-0200-000000000000}">
      <formula1>"100% avances remboursables, Subvention et avances remboursables"</formula1>
    </dataValidation>
    <dataValidation type="list" allowBlank="1" showInputMessage="1" showErrorMessage="1" sqref="B7:B8" xr:uid="{00000000-0002-0000-0200-000001000000}">
      <formula1>"Oui,Non"</formula1>
    </dataValidation>
    <dataValidation type="list" allowBlank="1" showInputMessage="1" showErrorMessage="1" sqref="B11:F11" xr:uid="{00000000-0002-0000-0200-000002000000}">
      <formula1>"GE,ME,PE,ER 100%*coûts marginaux,ER 50%*coûts complets"</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103"/>
  <sheetViews>
    <sheetView showGridLines="0" zoomScale="120" zoomScaleNormal="120" workbookViewId="0">
      <pane ySplit="5" topLeftCell="A6" activePane="bottomLeft" state="frozen"/>
      <selection pane="bottomLeft" activeCell="E12" sqref="E12"/>
    </sheetView>
  </sheetViews>
  <sheetFormatPr baseColWidth="10" defaultRowHeight="14.5" x14ac:dyDescent="0.35"/>
  <cols>
    <col min="1" max="3" width="11.26953125" customWidth="1"/>
    <col min="4" max="4" width="23" customWidth="1"/>
    <col min="5" max="5" width="83.1796875" customWidth="1"/>
  </cols>
  <sheetData>
    <row r="1" spans="1:5" x14ac:dyDescent="0.35">
      <c r="A1" s="20" t="s">
        <v>14</v>
      </c>
    </row>
    <row r="2" spans="1:5" x14ac:dyDescent="0.35">
      <c r="A2" s="18" t="s">
        <v>223</v>
      </c>
    </row>
    <row r="4" spans="1:5" x14ac:dyDescent="0.35">
      <c r="D4" s="19" t="s">
        <v>13</v>
      </c>
      <c r="E4" s="18" t="s">
        <v>12</v>
      </c>
    </row>
    <row r="5" spans="1:5" x14ac:dyDescent="0.35">
      <c r="A5" s="17" t="s">
        <v>11</v>
      </c>
      <c r="B5" s="17" t="s">
        <v>10</v>
      </c>
      <c r="C5" s="17" t="s">
        <v>9</v>
      </c>
      <c r="D5" s="17" t="s">
        <v>8</v>
      </c>
      <c r="E5" s="17" t="s">
        <v>7</v>
      </c>
    </row>
    <row r="6" spans="1:5" x14ac:dyDescent="0.35">
      <c r="A6" s="35" t="s">
        <v>6</v>
      </c>
      <c r="B6" s="35">
        <v>1</v>
      </c>
      <c r="C6" s="35">
        <v>1</v>
      </c>
      <c r="D6" s="13" t="str">
        <f>CONCATENATE(A6,B6,C6)</f>
        <v>LOT 011</v>
      </c>
      <c r="E6" s="12" t="s">
        <v>267</v>
      </c>
    </row>
    <row r="7" spans="1:5" x14ac:dyDescent="0.35">
      <c r="A7" s="35" t="s">
        <v>220</v>
      </c>
      <c r="B7" s="35">
        <v>1</v>
      </c>
      <c r="C7" s="35">
        <v>1</v>
      </c>
      <c r="D7" s="13" t="str">
        <f t="shared" ref="D7:D9" si="0">CONCATENATE(A7,B7,C7)</f>
        <v>LOT 111</v>
      </c>
      <c r="E7" s="12" t="s">
        <v>268</v>
      </c>
    </row>
    <row r="8" spans="1:5" x14ac:dyDescent="0.35">
      <c r="A8" s="35" t="s">
        <v>222</v>
      </c>
      <c r="B8" s="35">
        <v>1</v>
      </c>
      <c r="C8" s="35">
        <v>1</v>
      </c>
      <c r="D8" s="13" t="str">
        <f t="shared" si="0"/>
        <v>LOT 211</v>
      </c>
      <c r="E8" s="12" t="s">
        <v>281</v>
      </c>
    </row>
    <row r="9" spans="1:5" x14ac:dyDescent="0.35">
      <c r="A9" s="35" t="s">
        <v>271</v>
      </c>
      <c r="B9" s="35">
        <v>1</v>
      </c>
      <c r="C9" s="35">
        <v>1</v>
      </c>
      <c r="D9" s="13" t="str">
        <f t="shared" si="0"/>
        <v>LOT 311</v>
      </c>
      <c r="E9" s="12" t="s">
        <v>301</v>
      </c>
    </row>
    <row r="10" spans="1:5" x14ac:dyDescent="0.35">
      <c r="A10" s="35"/>
      <c r="B10" s="35"/>
      <c r="C10" s="35"/>
      <c r="D10" s="13" t="str">
        <f t="shared" ref="D10:D35" si="1">CONCATENATE(A10,B10,C10)</f>
        <v/>
      </c>
      <c r="E10" s="12"/>
    </row>
    <row r="11" spans="1:5" x14ac:dyDescent="0.35">
      <c r="A11" s="35"/>
      <c r="B11" s="35"/>
      <c r="C11" s="35"/>
      <c r="D11" s="13" t="str">
        <f t="shared" si="1"/>
        <v/>
      </c>
      <c r="E11" s="12"/>
    </row>
    <row r="12" spans="1:5" x14ac:dyDescent="0.35">
      <c r="A12" s="35"/>
      <c r="B12" s="35"/>
      <c r="C12" s="35"/>
      <c r="D12" s="13" t="str">
        <f t="shared" si="1"/>
        <v/>
      </c>
      <c r="E12" s="12"/>
    </row>
    <row r="13" spans="1:5" x14ac:dyDescent="0.35">
      <c r="A13" s="35"/>
      <c r="B13" s="35"/>
      <c r="C13" s="35"/>
      <c r="D13" s="13" t="str">
        <f t="shared" si="1"/>
        <v/>
      </c>
      <c r="E13" s="12"/>
    </row>
    <row r="14" spans="1:5" x14ac:dyDescent="0.35">
      <c r="A14" s="35"/>
      <c r="B14" s="35"/>
      <c r="C14" s="35"/>
      <c r="D14" s="13" t="str">
        <f t="shared" si="1"/>
        <v/>
      </c>
      <c r="E14" s="12"/>
    </row>
    <row r="15" spans="1:5" x14ac:dyDescent="0.35">
      <c r="A15" s="35"/>
      <c r="B15" s="35"/>
      <c r="C15" s="35"/>
      <c r="D15" s="13" t="str">
        <f t="shared" si="1"/>
        <v/>
      </c>
      <c r="E15" s="12"/>
    </row>
    <row r="16" spans="1:5" x14ac:dyDescent="0.35">
      <c r="A16" s="35"/>
      <c r="B16" s="35"/>
      <c r="C16" s="35"/>
      <c r="D16" s="13" t="str">
        <f t="shared" si="1"/>
        <v/>
      </c>
      <c r="E16" s="12"/>
    </row>
    <row r="17" spans="1:5" x14ac:dyDescent="0.35">
      <c r="A17" s="35"/>
      <c r="B17" s="35"/>
      <c r="C17" s="35"/>
      <c r="D17" s="13" t="str">
        <f t="shared" si="1"/>
        <v/>
      </c>
      <c r="E17" s="12"/>
    </row>
    <row r="18" spans="1:5" x14ac:dyDescent="0.35">
      <c r="A18" s="35"/>
      <c r="B18" s="35"/>
      <c r="C18" s="35"/>
      <c r="D18" s="13" t="str">
        <f t="shared" si="1"/>
        <v/>
      </c>
      <c r="E18" s="12"/>
    </row>
    <row r="19" spans="1:5" x14ac:dyDescent="0.35">
      <c r="A19" s="35"/>
      <c r="B19" s="35"/>
      <c r="C19" s="35"/>
      <c r="D19" s="13" t="str">
        <f t="shared" si="1"/>
        <v/>
      </c>
      <c r="E19" s="12"/>
    </row>
    <row r="20" spans="1:5" x14ac:dyDescent="0.35">
      <c r="A20" s="35"/>
      <c r="B20" s="35"/>
      <c r="C20" s="35"/>
      <c r="D20" s="13" t="str">
        <f t="shared" si="1"/>
        <v/>
      </c>
      <c r="E20" s="12"/>
    </row>
    <row r="21" spans="1:5" x14ac:dyDescent="0.35">
      <c r="A21" s="35"/>
      <c r="B21" s="35"/>
      <c r="C21" s="35"/>
      <c r="D21" s="13" t="str">
        <f t="shared" si="1"/>
        <v/>
      </c>
      <c r="E21" s="12"/>
    </row>
    <row r="22" spans="1:5" x14ac:dyDescent="0.35">
      <c r="A22" s="35"/>
      <c r="B22" s="35"/>
      <c r="C22" s="35"/>
      <c r="D22" s="13" t="str">
        <f t="shared" si="1"/>
        <v/>
      </c>
      <c r="E22" s="12"/>
    </row>
    <row r="23" spans="1:5" x14ac:dyDescent="0.35">
      <c r="A23" s="35"/>
      <c r="B23" s="35"/>
      <c r="C23" s="35"/>
      <c r="D23" s="13" t="str">
        <f t="shared" si="1"/>
        <v/>
      </c>
      <c r="E23" s="12"/>
    </row>
    <row r="24" spans="1:5" x14ac:dyDescent="0.35">
      <c r="A24" s="35"/>
      <c r="B24" s="35"/>
      <c r="C24" s="35"/>
      <c r="D24" s="13" t="str">
        <f t="shared" si="1"/>
        <v/>
      </c>
      <c r="E24" s="12"/>
    </row>
    <row r="25" spans="1:5" x14ac:dyDescent="0.35">
      <c r="A25" s="35"/>
      <c r="B25" s="35"/>
      <c r="C25" s="35"/>
      <c r="D25" s="13" t="str">
        <f t="shared" si="1"/>
        <v/>
      </c>
      <c r="E25" s="12"/>
    </row>
    <row r="26" spans="1:5" x14ac:dyDescent="0.35">
      <c r="A26" s="35"/>
      <c r="B26" s="35"/>
      <c r="C26" s="35"/>
      <c r="D26" s="13" t="str">
        <f t="shared" si="1"/>
        <v/>
      </c>
      <c r="E26" s="12"/>
    </row>
    <row r="27" spans="1:5" x14ac:dyDescent="0.35">
      <c r="A27" s="35"/>
      <c r="B27" s="35"/>
      <c r="C27" s="35"/>
      <c r="D27" s="13" t="str">
        <f t="shared" si="1"/>
        <v/>
      </c>
      <c r="E27" s="12"/>
    </row>
    <row r="28" spans="1:5" x14ac:dyDescent="0.35">
      <c r="A28" s="35"/>
      <c r="B28" s="35"/>
      <c r="C28" s="35"/>
      <c r="D28" s="13" t="str">
        <f t="shared" si="1"/>
        <v/>
      </c>
      <c r="E28" s="12"/>
    </row>
    <row r="29" spans="1:5" x14ac:dyDescent="0.35">
      <c r="A29" s="35"/>
      <c r="B29" s="35"/>
      <c r="C29" s="35"/>
      <c r="D29" s="13" t="str">
        <f t="shared" si="1"/>
        <v/>
      </c>
      <c r="E29" s="12"/>
    </row>
    <row r="30" spans="1:5" x14ac:dyDescent="0.35">
      <c r="A30" s="35"/>
      <c r="B30" s="35"/>
      <c r="C30" s="35"/>
      <c r="D30" s="13" t="str">
        <f t="shared" si="1"/>
        <v/>
      </c>
      <c r="E30" s="12"/>
    </row>
    <row r="31" spans="1:5" x14ac:dyDescent="0.35">
      <c r="A31" s="35"/>
      <c r="B31" s="35"/>
      <c r="C31" s="35"/>
      <c r="D31" s="13" t="str">
        <f t="shared" si="1"/>
        <v/>
      </c>
      <c r="E31" s="12"/>
    </row>
    <row r="32" spans="1:5" x14ac:dyDescent="0.35">
      <c r="A32" s="35"/>
      <c r="B32" s="35"/>
      <c r="C32" s="35"/>
      <c r="D32" s="13" t="str">
        <f t="shared" si="1"/>
        <v/>
      </c>
      <c r="E32" s="12"/>
    </row>
    <row r="33" spans="1:5" x14ac:dyDescent="0.35">
      <c r="A33" s="35"/>
      <c r="B33" s="35"/>
      <c r="C33" s="35"/>
      <c r="D33" s="13" t="str">
        <f t="shared" si="1"/>
        <v/>
      </c>
      <c r="E33" s="12"/>
    </row>
    <row r="34" spans="1:5" x14ac:dyDescent="0.35">
      <c r="A34" s="35"/>
      <c r="B34" s="35"/>
      <c r="C34" s="35"/>
      <c r="D34" s="13" t="str">
        <f t="shared" si="1"/>
        <v/>
      </c>
      <c r="E34" s="12"/>
    </row>
    <row r="35" spans="1:5" x14ac:dyDescent="0.35">
      <c r="A35" s="35"/>
      <c r="B35" s="35"/>
      <c r="C35" s="35"/>
      <c r="D35" s="13" t="str">
        <f t="shared" si="1"/>
        <v/>
      </c>
      <c r="E35" s="12"/>
    </row>
    <row r="36" spans="1:5" x14ac:dyDescent="0.35">
      <c r="A36" s="16"/>
      <c r="B36" s="15"/>
      <c r="C36" s="14"/>
      <c r="D36" s="13" t="str">
        <f t="shared" ref="D36:D61" si="2">CONCATENATE(A36,B36,C36)</f>
        <v/>
      </c>
      <c r="E36" s="12"/>
    </row>
    <row r="37" spans="1:5" x14ac:dyDescent="0.35">
      <c r="A37" s="16"/>
      <c r="B37" s="15"/>
      <c r="C37" s="14"/>
      <c r="D37" s="13" t="str">
        <f t="shared" si="2"/>
        <v/>
      </c>
      <c r="E37" s="12"/>
    </row>
    <row r="38" spans="1:5" x14ac:dyDescent="0.35">
      <c r="A38" s="16"/>
      <c r="B38" s="15"/>
      <c r="C38" s="14"/>
      <c r="D38" s="13" t="str">
        <f t="shared" si="2"/>
        <v/>
      </c>
      <c r="E38" s="12"/>
    </row>
    <row r="39" spans="1:5" x14ac:dyDescent="0.35">
      <c r="A39" s="16"/>
      <c r="B39" s="15"/>
      <c r="C39" s="14"/>
      <c r="D39" s="13" t="str">
        <f t="shared" si="2"/>
        <v/>
      </c>
      <c r="E39" s="12"/>
    </row>
    <row r="40" spans="1:5" x14ac:dyDescent="0.35">
      <c r="A40" s="16"/>
      <c r="B40" s="15"/>
      <c r="C40" s="14"/>
      <c r="D40" s="13" t="str">
        <f t="shared" si="2"/>
        <v/>
      </c>
      <c r="E40" s="12"/>
    </row>
    <row r="41" spans="1:5" x14ac:dyDescent="0.35">
      <c r="A41" s="16"/>
      <c r="B41" s="15"/>
      <c r="C41" s="14"/>
      <c r="D41" s="13" t="str">
        <f t="shared" si="2"/>
        <v/>
      </c>
      <c r="E41" s="12"/>
    </row>
    <row r="42" spans="1:5" x14ac:dyDescent="0.35">
      <c r="A42" s="16"/>
      <c r="B42" s="15"/>
      <c r="C42" s="14"/>
      <c r="D42" s="13" t="str">
        <f t="shared" si="2"/>
        <v/>
      </c>
      <c r="E42" s="12"/>
    </row>
    <row r="43" spans="1:5" x14ac:dyDescent="0.35">
      <c r="A43" s="16"/>
      <c r="B43" s="15"/>
      <c r="C43" s="14"/>
      <c r="D43" s="13" t="str">
        <f t="shared" si="2"/>
        <v/>
      </c>
      <c r="E43" s="12"/>
    </row>
    <row r="44" spans="1:5" x14ac:dyDescent="0.35">
      <c r="A44" s="16"/>
      <c r="B44" s="15"/>
      <c r="C44" s="14"/>
      <c r="D44" s="13" t="str">
        <f t="shared" si="2"/>
        <v/>
      </c>
      <c r="E44" s="12"/>
    </row>
    <row r="45" spans="1:5" x14ac:dyDescent="0.35">
      <c r="A45" s="16"/>
      <c r="B45" s="15"/>
      <c r="C45" s="14"/>
      <c r="D45" s="13" t="str">
        <f t="shared" si="2"/>
        <v/>
      </c>
      <c r="E45" s="12"/>
    </row>
    <row r="46" spans="1:5" x14ac:dyDescent="0.35">
      <c r="A46" s="16"/>
      <c r="B46" s="15"/>
      <c r="C46" s="14"/>
      <c r="D46" s="13" t="str">
        <f t="shared" si="2"/>
        <v/>
      </c>
      <c r="E46" s="12"/>
    </row>
    <row r="47" spans="1:5" x14ac:dyDescent="0.35">
      <c r="A47" s="16"/>
      <c r="B47" s="15"/>
      <c r="C47" s="14"/>
      <c r="D47" s="13" t="str">
        <f t="shared" si="2"/>
        <v/>
      </c>
      <c r="E47" s="12"/>
    </row>
    <row r="48" spans="1:5" x14ac:dyDescent="0.35">
      <c r="A48" s="16"/>
      <c r="B48" s="15"/>
      <c r="C48" s="14"/>
      <c r="D48" s="13" t="str">
        <f t="shared" si="2"/>
        <v/>
      </c>
      <c r="E48" s="12"/>
    </row>
    <row r="49" spans="1:5" x14ac:dyDescent="0.35">
      <c r="A49" s="16"/>
      <c r="B49" s="15"/>
      <c r="C49" s="14"/>
      <c r="D49" s="13" t="str">
        <f t="shared" si="2"/>
        <v/>
      </c>
      <c r="E49" s="12"/>
    </row>
    <row r="50" spans="1:5" x14ac:dyDescent="0.35">
      <c r="A50" s="16"/>
      <c r="B50" s="15"/>
      <c r="C50" s="14"/>
      <c r="D50" s="13" t="str">
        <f t="shared" si="2"/>
        <v/>
      </c>
      <c r="E50" s="12"/>
    </row>
    <row r="51" spans="1:5" x14ac:dyDescent="0.35">
      <c r="A51" s="16"/>
      <c r="B51" s="15"/>
      <c r="C51" s="14"/>
      <c r="D51" s="13" t="str">
        <f t="shared" si="2"/>
        <v/>
      </c>
      <c r="E51" s="12"/>
    </row>
    <row r="52" spans="1:5" x14ac:dyDescent="0.35">
      <c r="A52" s="16"/>
      <c r="B52" s="15"/>
      <c r="C52" s="14"/>
      <c r="D52" s="13" t="str">
        <f t="shared" si="2"/>
        <v/>
      </c>
      <c r="E52" s="12"/>
    </row>
    <row r="53" spans="1:5" x14ac:dyDescent="0.35">
      <c r="A53" s="16"/>
      <c r="B53" s="15"/>
      <c r="C53" s="14"/>
      <c r="D53" s="13" t="str">
        <f t="shared" si="2"/>
        <v/>
      </c>
      <c r="E53" s="12"/>
    </row>
    <row r="54" spans="1:5" x14ac:dyDescent="0.35">
      <c r="A54" s="16"/>
      <c r="B54" s="15"/>
      <c r="C54" s="14"/>
      <c r="D54" s="13" t="str">
        <f t="shared" si="2"/>
        <v/>
      </c>
      <c r="E54" s="12"/>
    </row>
    <row r="55" spans="1:5" x14ac:dyDescent="0.35">
      <c r="A55" s="16"/>
      <c r="B55" s="15"/>
      <c r="C55" s="14"/>
      <c r="D55" s="13" t="str">
        <f t="shared" si="2"/>
        <v/>
      </c>
      <c r="E55" s="12"/>
    </row>
    <row r="56" spans="1:5" x14ac:dyDescent="0.35">
      <c r="A56" s="16"/>
      <c r="B56" s="15"/>
      <c r="C56" s="14"/>
      <c r="D56" s="13" t="str">
        <f t="shared" si="2"/>
        <v/>
      </c>
      <c r="E56" s="12"/>
    </row>
    <row r="57" spans="1:5" x14ac:dyDescent="0.35">
      <c r="A57" s="16"/>
      <c r="B57" s="15"/>
      <c r="C57" s="14"/>
      <c r="D57" s="13" t="str">
        <f t="shared" si="2"/>
        <v/>
      </c>
      <c r="E57" s="12"/>
    </row>
    <row r="58" spans="1:5" x14ac:dyDescent="0.35">
      <c r="A58" s="16"/>
      <c r="B58" s="15"/>
      <c r="C58" s="14"/>
      <c r="D58" s="13" t="str">
        <f t="shared" si="2"/>
        <v/>
      </c>
      <c r="E58" s="12"/>
    </row>
    <row r="59" spans="1:5" x14ac:dyDescent="0.35">
      <c r="A59" s="16"/>
      <c r="B59" s="15"/>
      <c r="C59" s="14"/>
      <c r="D59" s="13" t="str">
        <f t="shared" si="2"/>
        <v/>
      </c>
      <c r="E59" s="12"/>
    </row>
    <row r="60" spans="1:5" x14ac:dyDescent="0.35">
      <c r="A60" s="16"/>
      <c r="B60" s="15"/>
      <c r="C60" s="14"/>
      <c r="D60" s="13" t="str">
        <f t="shared" si="2"/>
        <v/>
      </c>
      <c r="E60" s="12"/>
    </row>
    <row r="61" spans="1:5" x14ac:dyDescent="0.35">
      <c r="A61" s="16"/>
      <c r="B61" s="15"/>
      <c r="C61" s="14"/>
      <c r="D61" s="13" t="str">
        <f t="shared" si="2"/>
        <v/>
      </c>
      <c r="E61" s="12"/>
    </row>
    <row r="62" spans="1:5" x14ac:dyDescent="0.35">
      <c r="A62" s="16"/>
      <c r="B62" s="15"/>
      <c r="C62" s="14"/>
      <c r="D62" s="13" t="str">
        <f t="shared" ref="D62:D93" si="3">CONCATENATE(A62,B62,C62)</f>
        <v/>
      </c>
      <c r="E62" s="12"/>
    </row>
    <row r="63" spans="1:5" x14ac:dyDescent="0.35">
      <c r="A63" s="16"/>
      <c r="B63" s="15"/>
      <c r="C63" s="14"/>
      <c r="D63" s="13" t="str">
        <f t="shared" si="3"/>
        <v/>
      </c>
      <c r="E63" s="12"/>
    </row>
    <row r="64" spans="1:5" x14ac:dyDescent="0.35">
      <c r="A64" s="16"/>
      <c r="B64" s="15"/>
      <c r="C64" s="14"/>
      <c r="D64" s="13" t="str">
        <f t="shared" si="3"/>
        <v/>
      </c>
      <c r="E64" s="12"/>
    </row>
    <row r="65" spans="1:5" x14ac:dyDescent="0.35">
      <c r="A65" s="16"/>
      <c r="B65" s="15"/>
      <c r="C65" s="14"/>
      <c r="D65" s="13" t="str">
        <f t="shared" si="3"/>
        <v/>
      </c>
      <c r="E65" s="12"/>
    </row>
    <row r="66" spans="1:5" x14ac:dyDescent="0.35">
      <c r="A66" s="16"/>
      <c r="B66" s="15"/>
      <c r="C66" s="14"/>
      <c r="D66" s="13" t="str">
        <f t="shared" si="3"/>
        <v/>
      </c>
      <c r="E66" s="12"/>
    </row>
    <row r="67" spans="1:5" x14ac:dyDescent="0.35">
      <c r="A67" s="16"/>
      <c r="B67" s="15"/>
      <c r="C67" s="14"/>
      <c r="D67" s="13" t="str">
        <f t="shared" si="3"/>
        <v/>
      </c>
      <c r="E67" s="12"/>
    </row>
    <row r="68" spans="1:5" x14ac:dyDescent="0.35">
      <c r="A68" s="16"/>
      <c r="B68" s="15"/>
      <c r="C68" s="14"/>
      <c r="D68" s="13" t="str">
        <f t="shared" si="3"/>
        <v/>
      </c>
      <c r="E68" s="12"/>
    </row>
    <row r="69" spans="1:5" x14ac:dyDescent="0.35">
      <c r="A69" s="16"/>
      <c r="B69" s="15"/>
      <c r="C69" s="14"/>
      <c r="D69" s="13" t="str">
        <f t="shared" si="3"/>
        <v/>
      </c>
      <c r="E69" s="12"/>
    </row>
    <row r="70" spans="1:5" x14ac:dyDescent="0.35">
      <c r="A70" s="16"/>
      <c r="B70" s="15"/>
      <c r="C70" s="14"/>
      <c r="D70" s="13" t="str">
        <f t="shared" si="3"/>
        <v/>
      </c>
      <c r="E70" s="12"/>
    </row>
    <row r="71" spans="1:5" x14ac:dyDescent="0.35">
      <c r="A71" s="16"/>
      <c r="B71" s="15"/>
      <c r="C71" s="14"/>
      <c r="D71" s="13" t="str">
        <f t="shared" si="3"/>
        <v/>
      </c>
      <c r="E71" s="12"/>
    </row>
    <row r="72" spans="1:5" x14ac:dyDescent="0.35">
      <c r="A72" s="16"/>
      <c r="B72" s="15"/>
      <c r="C72" s="14"/>
      <c r="D72" s="13" t="str">
        <f t="shared" si="3"/>
        <v/>
      </c>
      <c r="E72" s="12"/>
    </row>
    <row r="73" spans="1:5" x14ac:dyDescent="0.35">
      <c r="A73" s="16"/>
      <c r="B73" s="15"/>
      <c r="C73" s="14"/>
      <c r="D73" s="13" t="str">
        <f t="shared" si="3"/>
        <v/>
      </c>
      <c r="E73" s="12"/>
    </row>
    <row r="74" spans="1:5" x14ac:dyDescent="0.35">
      <c r="A74" s="16"/>
      <c r="B74" s="15"/>
      <c r="C74" s="14"/>
      <c r="D74" s="13" t="str">
        <f t="shared" si="3"/>
        <v/>
      </c>
      <c r="E74" s="12"/>
    </row>
    <row r="75" spans="1:5" x14ac:dyDescent="0.35">
      <c r="A75" s="16"/>
      <c r="B75" s="15"/>
      <c r="C75" s="14"/>
      <c r="D75" s="13" t="str">
        <f t="shared" si="3"/>
        <v/>
      </c>
      <c r="E75" s="12"/>
    </row>
    <row r="76" spans="1:5" x14ac:dyDescent="0.35">
      <c r="A76" s="16"/>
      <c r="B76" s="15"/>
      <c r="C76" s="14"/>
      <c r="D76" s="13" t="str">
        <f t="shared" si="3"/>
        <v/>
      </c>
      <c r="E76" s="12"/>
    </row>
    <row r="77" spans="1:5" x14ac:dyDescent="0.35">
      <c r="A77" s="16"/>
      <c r="B77" s="15"/>
      <c r="C77" s="14"/>
      <c r="D77" s="13" t="str">
        <f t="shared" si="3"/>
        <v/>
      </c>
      <c r="E77" s="12"/>
    </row>
    <row r="78" spans="1:5" x14ac:dyDescent="0.35">
      <c r="A78" s="16"/>
      <c r="B78" s="15"/>
      <c r="C78" s="14"/>
      <c r="D78" s="13" t="str">
        <f t="shared" si="3"/>
        <v/>
      </c>
      <c r="E78" s="12"/>
    </row>
    <row r="79" spans="1:5" x14ac:dyDescent="0.35">
      <c r="A79" s="16"/>
      <c r="B79" s="15"/>
      <c r="C79" s="14"/>
      <c r="D79" s="13" t="str">
        <f t="shared" si="3"/>
        <v/>
      </c>
      <c r="E79" s="12"/>
    </row>
    <row r="80" spans="1:5" x14ac:dyDescent="0.35">
      <c r="A80" s="16"/>
      <c r="B80" s="15"/>
      <c r="C80" s="14"/>
      <c r="D80" s="13" t="str">
        <f t="shared" si="3"/>
        <v/>
      </c>
      <c r="E80" s="12"/>
    </row>
    <row r="81" spans="1:5" x14ac:dyDescent="0.35">
      <c r="A81" s="16"/>
      <c r="B81" s="15"/>
      <c r="C81" s="14"/>
      <c r="D81" s="13" t="str">
        <f t="shared" si="3"/>
        <v/>
      </c>
      <c r="E81" s="12"/>
    </row>
    <row r="82" spans="1:5" x14ac:dyDescent="0.35">
      <c r="A82" s="16"/>
      <c r="B82" s="15"/>
      <c r="C82" s="14"/>
      <c r="D82" s="13" t="str">
        <f t="shared" si="3"/>
        <v/>
      </c>
      <c r="E82" s="12"/>
    </row>
    <row r="83" spans="1:5" x14ac:dyDescent="0.35">
      <c r="A83" s="16"/>
      <c r="B83" s="15"/>
      <c r="C83" s="14"/>
      <c r="D83" s="13" t="str">
        <f t="shared" si="3"/>
        <v/>
      </c>
      <c r="E83" s="12"/>
    </row>
    <row r="84" spans="1:5" x14ac:dyDescent="0.35">
      <c r="A84" s="16"/>
      <c r="B84" s="15"/>
      <c r="C84" s="14"/>
      <c r="D84" s="13" t="str">
        <f t="shared" si="3"/>
        <v/>
      </c>
      <c r="E84" s="12"/>
    </row>
    <row r="85" spans="1:5" x14ac:dyDescent="0.35">
      <c r="A85" s="16"/>
      <c r="B85" s="15"/>
      <c r="C85" s="14"/>
      <c r="D85" s="13" t="str">
        <f t="shared" si="3"/>
        <v/>
      </c>
      <c r="E85" s="12"/>
    </row>
    <row r="86" spans="1:5" x14ac:dyDescent="0.35">
      <c r="A86" s="16"/>
      <c r="B86" s="15"/>
      <c r="C86" s="14"/>
      <c r="D86" s="13" t="str">
        <f t="shared" si="3"/>
        <v/>
      </c>
      <c r="E86" s="12"/>
    </row>
    <row r="87" spans="1:5" x14ac:dyDescent="0.35">
      <c r="A87" s="16"/>
      <c r="B87" s="15"/>
      <c r="C87" s="14"/>
      <c r="D87" s="13" t="str">
        <f t="shared" si="3"/>
        <v/>
      </c>
      <c r="E87" s="12"/>
    </row>
    <row r="88" spans="1:5" x14ac:dyDescent="0.35">
      <c r="A88" s="16"/>
      <c r="B88" s="15"/>
      <c r="C88" s="14"/>
      <c r="D88" s="13" t="str">
        <f t="shared" si="3"/>
        <v/>
      </c>
      <c r="E88" s="12"/>
    </row>
    <row r="89" spans="1:5" x14ac:dyDescent="0.35">
      <c r="A89" s="16"/>
      <c r="B89" s="15"/>
      <c r="C89" s="14"/>
      <c r="D89" s="13" t="str">
        <f t="shared" si="3"/>
        <v/>
      </c>
      <c r="E89" s="12"/>
    </row>
    <row r="90" spans="1:5" x14ac:dyDescent="0.35">
      <c r="A90" s="16"/>
      <c r="B90" s="15"/>
      <c r="C90" s="14"/>
      <c r="D90" s="13" t="str">
        <f t="shared" si="3"/>
        <v/>
      </c>
      <c r="E90" s="12"/>
    </row>
    <row r="91" spans="1:5" x14ac:dyDescent="0.35">
      <c r="A91" s="16"/>
      <c r="B91" s="15"/>
      <c r="C91" s="14"/>
      <c r="D91" s="13" t="str">
        <f t="shared" si="3"/>
        <v/>
      </c>
      <c r="E91" s="12"/>
    </row>
    <row r="92" spans="1:5" x14ac:dyDescent="0.35">
      <c r="A92" s="16"/>
      <c r="B92" s="15"/>
      <c r="C92" s="14"/>
      <c r="D92" s="13" t="str">
        <f t="shared" si="3"/>
        <v/>
      </c>
      <c r="E92" s="12"/>
    </row>
    <row r="93" spans="1:5" x14ac:dyDescent="0.35">
      <c r="A93" s="16"/>
      <c r="B93" s="15"/>
      <c r="C93" s="14"/>
      <c r="D93" s="13" t="str">
        <f t="shared" si="3"/>
        <v/>
      </c>
      <c r="E93" s="12"/>
    </row>
    <row r="94" spans="1:5" x14ac:dyDescent="0.35">
      <c r="A94" s="16"/>
      <c r="B94" s="15"/>
      <c r="C94" s="14"/>
      <c r="D94" s="13" t="str">
        <f t="shared" ref="D94:D103" si="4">CONCATENATE(A94,B94,C94)</f>
        <v/>
      </c>
      <c r="E94" s="12"/>
    </row>
    <row r="95" spans="1:5" x14ac:dyDescent="0.35">
      <c r="A95" s="16"/>
      <c r="B95" s="15"/>
      <c r="C95" s="14"/>
      <c r="D95" s="13" t="str">
        <f t="shared" si="4"/>
        <v/>
      </c>
      <c r="E95" s="12"/>
    </row>
    <row r="96" spans="1:5" x14ac:dyDescent="0.35">
      <c r="A96" s="16"/>
      <c r="B96" s="15"/>
      <c r="C96" s="14"/>
      <c r="D96" s="13" t="str">
        <f t="shared" si="4"/>
        <v/>
      </c>
      <c r="E96" s="12"/>
    </row>
    <row r="97" spans="1:5" x14ac:dyDescent="0.35">
      <c r="A97" s="16"/>
      <c r="B97" s="15"/>
      <c r="C97" s="14"/>
      <c r="D97" s="13" t="str">
        <f t="shared" si="4"/>
        <v/>
      </c>
      <c r="E97" s="12"/>
    </row>
    <row r="98" spans="1:5" x14ac:dyDescent="0.35">
      <c r="A98" s="16"/>
      <c r="B98" s="15"/>
      <c r="C98" s="14"/>
      <c r="D98" s="13" t="str">
        <f t="shared" si="4"/>
        <v/>
      </c>
      <c r="E98" s="12"/>
    </row>
    <row r="99" spans="1:5" x14ac:dyDescent="0.35">
      <c r="A99" s="16"/>
      <c r="B99" s="15"/>
      <c r="C99" s="14"/>
      <c r="D99" s="13" t="str">
        <f t="shared" si="4"/>
        <v/>
      </c>
      <c r="E99" s="12"/>
    </row>
    <row r="100" spans="1:5" x14ac:dyDescent="0.35">
      <c r="A100" s="16"/>
      <c r="B100" s="15"/>
      <c r="C100" s="14"/>
      <c r="D100" s="13" t="str">
        <f t="shared" si="4"/>
        <v/>
      </c>
      <c r="E100" s="12"/>
    </row>
    <row r="101" spans="1:5" x14ac:dyDescent="0.35">
      <c r="A101" s="16"/>
      <c r="B101" s="15"/>
      <c r="C101" s="14"/>
      <c r="D101" s="13" t="str">
        <f t="shared" si="4"/>
        <v/>
      </c>
      <c r="E101" s="12"/>
    </row>
    <row r="102" spans="1:5" x14ac:dyDescent="0.35">
      <c r="A102" s="16"/>
      <c r="B102" s="15"/>
      <c r="C102" s="14"/>
      <c r="D102" s="13" t="str">
        <f t="shared" si="4"/>
        <v/>
      </c>
      <c r="E102" s="12"/>
    </row>
    <row r="103" spans="1:5" x14ac:dyDescent="0.35">
      <c r="A103" s="16"/>
      <c r="B103" s="15"/>
      <c r="C103" s="14"/>
      <c r="D103" s="13" t="str">
        <f t="shared" si="4"/>
        <v/>
      </c>
      <c r="E103" s="12"/>
    </row>
  </sheetData>
  <sheetProtection selectLockedCells="1"/>
  <conditionalFormatting sqref="A6:B6 B7:B35">
    <cfRule type="containsBlanks" dxfId="94" priority="9">
      <formula>LEN(TRIM(A6))=0</formula>
    </cfRule>
  </conditionalFormatting>
  <conditionalFormatting sqref="A7 A9:A35">
    <cfRule type="containsBlanks" dxfId="93" priority="2">
      <formula>LEN(TRIM(A7))=0</formula>
    </cfRule>
  </conditionalFormatting>
  <conditionalFormatting sqref="A8">
    <cfRule type="containsBlanks" dxfId="92" priority="1">
      <formula>LEN(TRIM(A8))=0</formula>
    </cfRule>
  </conditionalFormatting>
  <dataValidations count="3">
    <dataValidation type="list" allowBlank="1" showInputMessage="1" showErrorMessage="1" sqref="C5 A6:A103" xr:uid="{00000000-0002-0000-0300-000000000000}">
      <formula1>"LOT 0,LOT 1,LOT 2,LOT 3,LOT 4,LOT 5,LOT 6,LOT 7,LOT 8,LOT 9,LOT 10,LOT 11,LOT 12,LOT 13,LOT 14,LOT 14,LOT 15"</formula1>
    </dataValidation>
    <dataValidation type="list" allowBlank="1" showInputMessage="1" showErrorMessage="1" sqref="B6:B103" xr:uid="{00000000-0002-0000-0300-000001000000}">
      <formula1>"1,2,3,4,5,6,7,8,9,10,11,12,13,14,15"</formula1>
    </dataValidation>
    <dataValidation type="list" allowBlank="1" showInputMessage="1" showErrorMessage="1" sqref="C6:C103"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sheetPr>
  <dimension ref="A1:P83"/>
  <sheetViews>
    <sheetView showGridLines="0" zoomScale="70" zoomScaleNormal="70" workbookViewId="0">
      <pane ySplit="9" topLeftCell="A10" activePane="bottomLeft" state="frozen"/>
      <selection pane="bottomLeft" activeCell="A5" sqref="A5:I6"/>
    </sheetView>
  </sheetViews>
  <sheetFormatPr baseColWidth="10" defaultColWidth="11.453125" defaultRowHeight="14.5" x14ac:dyDescent="0.35"/>
  <cols>
    <col min="1" max="3" width="7.453125" style="76" customWidth="1"/>
    <col min="4" max="4" width="27.26953125" style="76" customWidth="1"/>
    <col min="5" max="5" width="21.7265625" style="76" customWidth="1"/>
    <col min="6" max="6" width="11.453125" style="76"/>
    <col min="7" max="7" width="15.7265625" style="76" customWidth="1"/>
    <col min="8" max="8" width="24.7265625" style="76" customWidth="1"/>
    <col min="9" max="9" width="14.54296875" style="86" bestFit="1" customWidth="1"/>
    <col min="10" max="10" width="23.1796875" style="76" customWidth="1"/>
    <col min="11" max="11" width="21.7265625" style="76" customWidth="1"/>
    <col min="12" max="12" width="15.453125" style="76" customWidth="1"/>
    <col min="13" max="13" width="26.81640625" style="76" customWidth="1"/>
    <col min="14" max="14" width="18.453125" style="76" customWidth="1"/>
    <col min="15" max="15" width="26.54296875" style="76" customWidth="1"/>
    <col min="16" max="16384" width="11.453125" style="76"/>
  </cols>
  <sheetData>
    <row r="1" spans="1:16" ht="14.25" customHeight="1" x14ac:dyDescent="0.35">
      <c r="A1" s="35"/>
      <c r="B1" s="35"/>
      <c r="C1" s="35"/>
      <c r="D1" s="83" t="str">
        <f t="shared" ref="D1" si="0">CONCATENATE(A1,B1,C1)</f>
        <v/>
      </c>
      <c r="E1" s="84">
        <f>IFERROR(VLOOKUP(D1,'Structure projet '!D:E,2,FALSE),"")</f>
        <v>0</v>
      </c>
      <c r="F1" s="35"/>
      <c r="G1" s="35"/>
      <c r="H1" s="35"/>
      <c r="I1" s="42"/>
      <c r="J1" s="35"/>
      <c r="K1" s="184" t="str">
        <f>IF(F1="","",I1/J1)</f>
        <v/>
      </c>
      <c r="L1" s="35"/>
      <c r="M1" s="41"/>
      <c r="N1" s="183" t="str">
        <f>IF(F1="","",K1*M1*L1)</f>
        <v/>
      </c>
      <c r="O1" s="40"/>
    </row>
    <row r="2" spans="1:16" x14ac:dyDescent="0.35">
      <c r="A2" s="325" t="s">
        <v>258</v>
      </c>
      <c r="B2" s="325"/>
      <c r="C2" s="325"/>
      <c r="D2" s="325"/>
      <c r="E2" s="325"/>
      <c r="F2" s="325"/>
    </row>
    <row r="3" spans="1:16" ht="18" x14ac:dyDescent="0.35">
      <c r="A3" s="70" t="s">
        <v>117</v>
      </c>
      <c r="B3" s="87"/>
      <c r="C3" s="87"/>
      <c r="D3" s="87"/>
      <c r="E3" s="87"/>
      <c r="F3" s="87"/>
      <c r="G3" s="87"/>
      <c r="H3" s="87"/>
      <c r="I3" s="88"/>
    </row>
    <row r="4" spans="1:16" ht="15" thickBot="1" x14ac:dyDescent="0.4">
      <c r="B4" s="163"/>
      <c r="C4" s="163"/>
      <c r="D4" s="163"/>
      <c r="E4" s="163"/>
      <c r="F4" s="163"/>
      <c r="G4" s="163"/>
      <c r="H4" s="163"/>
      <c r="I4" s="163"/>
    </row>
    <row r="5" spans="1:16" ht="41.5" customHeight="1" thickBot="1" x14ac:dyDescent="0.4">
      <c r="A5" s="319" t="s">
        <v>298</v>
      </c>
      <c r="B5" s="320"/>
      <c r="C5" s="320"/>
      <c r="D5" s="320"/>
      <c r="E5" s="320"/>
      <c r="F5" s="320"/>
      <c r="G5" s="320"/>
      <c r="H5" s="320"/>
      <c r="I5" s="321"/>
      <c r="K5" s="164" t="s">
        <v>120</v>
      </c>
      <c r="L5" s="89" t="s">
        <v>119</v>
      </c>
      <c r="M5" s="89"/>
      <c r="N5" s="169">
        <f>SUM(N9:N82)</f>
        <v>200000</v>
      </c>
    </row>
    <row r="6" spans="1:16" ht="41.5" customHeight="1" thickBot="1" x14ac:dyDescent="0.4">
      <c r="A6" s="322"/>
      <c r="B6" s="323"/>
      <c r="C6" s="323"/>
      <c r="D6" s="323"/>
      <c r="E6" s="323"/>
      <c r="F6" s="323"/>
      <c r="G6" s="323"/>
      <c r="H6" s="323"/>
      <c r="I6" s="324"/>
      <c r="K6" s="165" t="s">
        <v>121</v>
      </c>
      <c r="L6" s="118" t="s">
        <v>251</v>
      </c>
      <c r="M6" s="118"/>
      <c r="N6" s="169">
        <f>BdD!Z4</f>
        <v>200000</v>
      </c>
    </row>
    <row r="7" spans="1:16" x14ac:dyDescent="0.35">
      <c r="J7" s="76" t="s">
        <v>118</v>
      </c>
    </row>
    <row r="8" spans="1:16" s="186" customFormat="1" ht="61.5" customHeight="1" x14ac:dyDescent="0.35">
      <c r="A8" s="90" t="s">
        <v>11</v>
      </c>
      <c r="B8" s="90" t="s">
        <v>10</v>
      </c>
      <c r="C8" s="90" t="s">
        <v>110</v>
      </c>
      <c r="D8" s="91" t="s">
        <v>131</v>
      </c>
      <c r="E8" s="90" t="s">
        <v>7</v>
      </c>
      <c r="F8" s="90" t="s">
        <v>63</v>
      </c>
      <c r="G8" s="90" t="s">
        <v>127</v>
      </c>
      <c r="H8" s="90" t="s">
        <v>111</v>
      </c>
      <c r="I8" s="92" t="s">
        <v>112</v>
      </c>
      <c r="J8" s="166" t="s">
        <v>113</v>
      </c>
      <c r="K8" s="90" t="s">
        <v>114</v>
      </c>
      <c r="L8" s="167" t="s">
        <v>115</v>
      </c>
      <c r="M8" s="168" t="s">
        <v>116</v>
      </c>
      <c r="N8" s="90" t="s">
        <v>145</v>
      </c>
      <c r="O8" s="90" t="s">
        <v>48</v>
      </c>
      <c r="P8" s="185"/>
    </row>
    <row r="9" spans="1:16" ht="21.75" customHeight="1" x14ac:dyDescent="0.35">
      <c r="A9" s="35" t="s">
        <v>220</v>
      </c>
      <c r="B9" s="35">
        <v>1</v>
      </c>
      <c r="C9" s="35">
        <v>1</v>
      </c>
      <c r="D9" s="83" t="str">
        <f t="shared" ref="D9:D10" si="1">CONCATENATE(A9,B9,C9)</f>
        <v>LOT 111</v>
      </c>
      <c r="E9" s="84" t="str">
        <f>IFERROR(VLOOKUP(D9,'Structure projet '!D:E,2,FALSE),"")</f>
        <v>Tache de RI</v>
      </c>
      <c r="F9" s="35" t="s">
        <v>218</v>
      </c>
      <c r="G9" s="35" t="s">
        <v>130</v>
      </c>
      <c r="H9" s="35" t="s">
        <v>270</v>
      </c>
      <c r="I9" s="42">
        <v>1000000</v>
      </c>
      <c r="J9" s="54">
        <v>10</v>
      </c>
      <c r="K9" s="183">
        <f t="shared" ref="K9:K31" si="2">IF(F9="","",I9/J9)</f>
        <v>100000</v>
      </c>
      <c r="L9" s="55">
        <v>2</v>
      </c>
      <c r="M9" s="41">
        <v>1</v>
      </c>
      <c r="N9" s="183">
        <f t="shared" ref="N9:N40" si="3">IF(F9="","",K9*M9*L9)</f>
        <v>200000</v>
      </c>
      <c r="O9" s="40"/>
    </row>
    <row r="10" spans="1:16" s="186" customFormat="1" ht="24" customHeight="1" x14ac:dyDescent="0.35">
      <c r="A10" s="35"/>
      <c r="B10" s="35"/>
      <c r="C10" s="35"/>
      <c r="D10" s="83" t="str">
        <f t="shared" si="1"/>
        <v/>
      </c>
      <c r="E10" s="84">
        <f>IFERROR(VLOOKUP(D10,'Structure projet '!D:E,2,FALSE),"")</f>
        <v>0</v>
      </c>
      <c r="F10" s="35"/>
      <c r="G10" s="35"/>
      <c r="H10" s="35"/>
      <c r="I10" s="42"/>
      <c r="J10" s="54"/>
      <c r="K10" s="183" t="str">
        <f t="shared" si="2"/>
        <v/>
      </c>
      <c r="L10" s="55"/>
      <c r="M10" s="41"/>
      <c r="N10" s="183" t="str">
        <f t="shared" si="3"/>
        <v/>
      </c>
      <c r="O10" s="40"/>
      <c r="P10" s="185"/>
    </row>
    <row r="11" spans="1:16" ht="18" customHeight="1" x14ac:dyDescent="0.35">
      <c r="A11" s="35"/>
      <c r="B11" s="35"/>
      <c r="C11" s="35"/>
      <c r="D11" s="83" t="str">
        <f t="shared" ref="D11:D29" si="4">CONCATENATE(A11,B11,C11)</f>
        <v/>
      </c>
      <c r="E11" s="84">
        <f>IFERROR(VLOOKUP(D11,'Structure projet '!D:E,2,FALSE),"")</f>
        <v>0</v>
      </c>
      <c r="F11" s="35"/>
      <c r="G11" s="35"/>
      <c r="H11" s="35"/>
      <c r="I11" s="42"/>
      <c r="J11" s="54"/>
      <c r="K11" s="183" t="str">
        <f t="shared" ref="K11:K29" si="5">IF(F11="","",I11/J11)</f>
        <v/>
      </c>
      <c r="L11" s="55"/>
      <c r="M11" s="41"/>
      <c r="N11" s="183" t="str">
        <f t="shared" si="3"/>
        <v/>
      </c>
      <c r="O11" s="40"/>
    </row>
    <row r="12" spans="1:16" ht="18" customHeight="1" x14ac:dyDescent="0.35">
      <c r="A12" s="35"/>
      <c r="B12" s="35"/>
      <c r="C12" s="35"/>
      <c r="D12" s="83" t="str">
        <f t="shared" si="4"/>
        <v/>
      </c>
      <c r="E12" s="84">
        <f>IFERROR(VLOOKUP(D12,'Structure projet '!D:E,2,FALSE),"")</f>
        <v>0</v>
      </c>
      <c r="F12" s="35"/>
      <c r="G12" s="35"/>
      <c r="H12" s="35"/>
      <c r="I12" s="42"/>
      <c r="J12" s="54"/>
      <c r="K12" s="183" t="str">
        <f t="shared" si="5"/>
        <v/>
      </c>
      <c r="L12" s="55"/>
      <c r="M12" s="41"/>
      <c r="N12" s="183" t="str">
        <f t="shared" si="3"/>
        <v/>
      </c>
      <c r="O12" s="40"/>
    </row>
    <row r="13" spans="1:16" ht="18" customHeight="1" x14ac:dyDescent="0.35">
      <c r="A13" s="35"/>
      <c r="B13" s="35"/>
      <c r="C13" s="35"/>
      <c r="D13" s="83" t="str">
        <f t="shared" si="4"/>
        <v/>
      </c>
      <c r="E13" s="84">
        <f>IFERROR(VLOOKUP(D13,'Structure projet '!D:E,2,FALSE),"")</f>
        <v>0</v>
      </c>
      <c r="F13" s="35"/>
      <c r="G13" s="35"/>
      <c r="H13" s="35"/>
      <c r="I13" s="42"/>
      <c r="J13" s="54"/>
      <c r="K13" s="183" t="str">
        <f t="shared" si="5"/>
        <v/>
      </c>
      <c r="L13" s="55"/>
      <c r="M13" s="41"/>
      <c r="N13" s="183" t="str">
        <f t="shared" si="3"/>
        <v/>
      </c>
      <c r="O13" s="40"/>
    </row>
    <row r="14" spans="1:16" ht="18" customHeight="1" x14ac:dyDescent="0.35">
      <c r="A14" s="35"/>
      <c r="B14" s="35"/>
      <c r="C14" s="35"/>
      <c r="D14" s="83" t="str">
        <f t="shared" si="4"/>
        <v/>
      </c>
      <c r="E14" s="84">
        <f>IFERROR(VLOOKUP(D14,'Structure projet '!D:E,2,FALSE),"")</f>
        <v>0</v>
      </c>
      <c r="F14" s="35"/>
      <c r="G14" s="35"/>
      <c r="H14" s="35"/>
      <c r="I14" s="42"/>
      <c r="J14" s="54"/>
      <c r="K14" s="183" t="str">
        <f t="shared" si="5"/>
        <v/>
      </c>
      <c r="L14" s="55"/>
      <c r="M14" s="41"/>
      <c r="N14" s="183" t="str">
        <f t="shared" si="3"/>
        <v/>
      </c>
      <c r="O14" s="40"/>
    </row>
    <row r="15" spans="1:16" ht="18" customHeight="1" x14ac:dyDescent="0.35">
      <c r="A15" s="35"/>
      <c r="B15" s="35"/>
      <c r="C15" s="35"/>
      <c r="D15" s="83" t="str">
        <f t="shared" si="4"/>
        <v/>
      </c>
      <c r="E15" s="84">
        <f>IFERROR(VLOOKUP(D15,'Structure projet '!D:E,2,FALSE),"")</f>
        <v>0</v>
      </c>
      <c r="F15" s="35"/>
      <c r="G15" s="35"/>
      <c r="H15" s="35"/>
      <c r="I15" s="42"/>
      <c r="J15" s="54"/>
      <c r="K15" s="183" t="str">
        <f t="shared" si="5"/>
        <v/>
      </c>
      <c r="L15" s="55"/>
      <c r="M15" s="41"/>
      <c r="N15" s="183" t="str">
        <f t="shared" si="3"/>
        <v/>
      </c>
      <c r="O15" s="40"/>
    </row>
    <row r="16" spans="1:16" ht="18" customHeight="1" x14ac:dyDescent="0.35">
      <c r="A16" s="35"/>
      <c r="B16" s="35"/>
      <c r="C16" s="35"/>
      <c r="D16" s="83" t="str">
        <f t="shared" si="4"/>
        <v/>
      </c>
      <c r="E16" s="84">
        <f>IFERROR(VLOOKUP(D16,'Structure projet '!D:E,2,FALSE),"")</f>
        <v>0</v>
      </c>
      <c r="F16" s="35"/>
      <c r="G16" s="35"/>
      <c r="H16" s="35"/>
      <c r="I16" s="42"/>
      <c r="J16" s="54"/>
      <c r="K16" s="183" t="str">
        <f t="shared" si="5"/>
        <v/>
      </c>
      <c r="L16" s="55"/>
      <c r="M16" s="41"/>
      <c r="N16" s="183" t="str">
        <f t="shared" si="3"/>
        <v/>
      </c>
      <c r="O16" s="40"/>
    </row>
    <row r="17" spans="1:15" ht="18" customHeight="1" x14ac:dyDescent="0.35">
      <c r="A17" s="35"/>
      <c r="B17" s="35"/>
      <c r="C17" s="35"/>
      <c r="D17" s="83" t="str">
        <f t="shared" si="4"/>
        <v/>
      </c>
      <c r="E17" s="84">
        <f>IFERROR(VLOOKUP(D17,'Structure projet '!D:E,2,FALSE),"")</f>
        <v>0</v>
      </c>
      <c r="F17" s="35"/>
      <c r="G17" s="35"/>
      <c r="H17" s="35"/>
      <c r="I17" s="42"/>
      <c r="J17" s="54"/>
      <c r="K17" s="183" t="str">
        <f t="shared" si="5"/>
        <v/>
      </c>
      <c r="L17" s="55"/>
      <c r="M17" s="41"/>
      <c r="N17" s="183" t="str">
        <f t="shared" si="3"/>
        <v/>
      </c>
      <c r="O17" s="40"/>
    </row>
    <row r="18" spans="1:15" ht="18" customHeight="1" x14ac:dyDescent="0.35">
      <c r="A18" s="35"/>
      <c r="B18" s="35"/>
      <c r="C18" s="35"/>
      <c r="D18" s="83" t="str">
        <f t="shared" si="4"/>
        <v/>
      </c>
      <c r="E18" s="84">
        <f>IFERROR(VLOOKUP(D18,'Structure projet '!D:E,2,FALSE),"")</f>
        <v>0</v>
      </c>
      <c r="F18" s="35"/>
      <c r="G18" s="35"/>
      <c r="H18" s="35"/>
      <c r="I18" s="42"/>
      <c r="J18" s="54"/>
      <c r="K18" s="183" t="str">
        <f t="shared" si="5"/>
        <v/>
      </c>
      <c r="L18" s="55"/>
      <c r="M18" s="41"/>
      <c r="N18" s="183" t="str">
        <f t="shared" si="3"/>
        <v/>
      </c>
      <c r="O18" s="40"/>
    </row>
    <row r="19" spans="1:15" ht="18" customHeight="1" x14ac:dyDescent="0.35">
      <c r="A19" s="35"/>
      <c r="B19" s="35"/>
      <c r="C19" s="35"/>
      <c r="D19" s="83" t="str">
        <f t="shared" si="4"/>
        <v/>
      </c>
      <c r="E19" s="84">
        <f>IFERROR(VLOOKUP(D19,'Structure projet '!D:E,2,FALSE),"")</f>
        <v>0</v>
      </c>
      <c r="F19" s="35"/>
      <c r="G19" s="35"/>
      <c r="H19" s="35"/>
      <c r="I19" s="42"/>
      <c r="J19" s="54"/>
      <c r="K19" s="183" t="str">
        <f t="shared" si="5"/>
        <v/>
      </c>
      <c r="L19" s="55"/>
      <c r="M19" s="41"/>
      <c r="N19" s="183" t="str">
        <f t="shared" si="3"/>
        <v/>
      </c>
      <c r="O19" s="40"/>
    </row>
    <row r="20" spans="1:15" ht="18" customHeight="1" x14ac:dyDescent="0.35">
      <c r="A20" s="35"/>
      <c r="B20" s="35"/>
      <c r="C20" s="35"/>
      <c r="D20" s="83" t="str">
        <f t="shared" si="4"/>
        <v/>
      </c>
      <c r="E20" s="84">
        <f>IFERROR(VLOOKUP(D20,'Structure projet '!D:E,2,FALSE),"")</f>
        <v>0</v>
      </c>
      <c r="F20" s="35"/>
      <c r="G20" s="35"/>
      <c r="H20" s="35"/>
      <c r="I20" s="42"/>
      <c r="J20" s="54"/>
      <c r="K20" s="183" t="str">
        <f t="shared" si="5"/>
        <v/>
      </c>
      <c r="L20" s="55"/>
      <c r="M20" s="41"/>
      <c r="N20" s="183" t="str">
        <f t="shared" si="3"/>
        <v/>
      </c>
      <c r="O20" s="40"/>
    </row>
    <row r="21" spans="1:15" ht="18" customHeight="1" x14ac:dyDescent="0.35">
      <c r="A21" s="35"/>
      <c r="B21" s="35"/>
      <c r="C21" s="35"/>
      <c r="D21" s="83" t="str">
        <f t="shared" si="4"/>
        <v/>
      </c>
      <c r="E21" s="84">
        <f>IFERROR(VLOOKUP(D21,'Structure projet '!D:E,2,FALSE),"")</f>
        <v>0</v>
      </c>
      <c r="F21" s="35"/>
      <c r="G21" s="35"/>
      <c r="H21" s="35"/>
      <c r="I21" s="42"/>
      <c r="J21" s="54"/>
      <c r="K21" s="183" t="str">
        <f t="shared" si="5"/>
        <v/>
      </c>
      <c r="L21" s="55"/>
      <c r="M21" s="41"/>
      <c r="N21" s="183" t="str">
        <f t="shared" si="3"/>
        <v/>
      </c>
      <c r="O21" s="40"/>
    </row>
    <row r="22" spans="1:15" ht="18" customHeight="1" x14ac:dyDescent="0.35">
      <c r="A22" s="35"/>
      <c r="B22" s="35"/>
      <c r="C22" s="35"/>
      <c r="D22" s="83" t="str">
        <f t="shared" si="4"/>
        <v/>
      </c>
      <c r="E22" s="84">
        <f>IFERROR(VLOOKUP(D22,'Structure projet '!D:E,2,FALSE),"")</f>
        <v>0</v>
      </c>
      <c r="F22" s="35"/>
      <c r="G22" s="35"/>
      <c r="H22" s="35"/>
      <c r="I22" s="42"/>
      <c r="J22" s="54"/>
      <c r="K22" s="183" t="str">
        <f t="shared" si="5"/>
        <v/>
      </c>
      <c r="L22" s="55"/>
      <c r="M22" s="41"/>
      <c r="N22" s="183" t="str">
        <f t="shared" si="3"/>
        <v/>
      </c>
      <c r="O22" s="40"/>
    </row>
    <row r="23" spans="1:15" ht="18" customHeight="1" x14ac:dyDescent="0.35">
      <c r="A23" s="35"/>
      <c r="B23" s="35"/>
      <c r="C23" s="35"/>
      <c r="D23" s="83" t="str">
        <f t="shared" si="4"/>
        <v/>
      </c>
      <c r="E23" s="84">
        <f>IFERROR(VLOOKUP(D23,'Structure projet '!D:E,2,FALSE),"")</f>
        <v>0</v>
      </c>
      <c r="F23" s="35"/>
      <c r="G23" s="35"/>
      <c r="H23" s="35"/>
      <c r="I23" s="42"/>
      <c r="J23" s="54"/>
      <c r="K23" s="183" t="str">
        <f t="shared" si="5"/>
        <v/>
      </c>
      <c r="L23" s="55"/>
      <c r="M23" s="41"/>
      <c r="N23" s="183" t="str">
        <f t="shared" si="3"/>
        <v/>
      </c>
      <c r="O23" s="40"/>
    </row>
    <row r="24" spans="1:15" ht="18" customHeight="1" x14ac:dyDescent="0.35">
      <c r="A24" s="35"/>
      <c r="B24" s="35"/>
      <c r="C24" s="35"/>
      <c r="D24" s="83" t="str">
        <f t="shared" si="4"/>
        <v/>
      </c>
      <c r="E24" s="84">
        <f>IFERROR(VLOOKUP(D24,'Structure projet '!D:E,2,FALSE),"")</f>
        <v>0</v>
      </c>
      <c r="F24" s="35"/>
      <c r="G24" s="35"/>
      <c r="H24" s="35"/>
      <c r="I24" s="42"/>
      <c r="J24" s="54"/>
      <c r="K24" s="183" t="str">
        <f t="shared" si="5"/>
        <v/>
      </c>
      <c r="L24" s="55"/>
      <c r="M24" s="41"/>
      <c r="N24" s="183" t="str">
        <f t="shared" si="3"/>
        <v/>
      </c>
      <c r="O24" s="40"/>
    </row>
    <row r="25" spans="1:15" ht="18" customHeight="1" x14ac:dyDescent="0.35">
      <c r="A25" s="35"/>
      <c r="B25" s="35"/>
      <c r="C25" s="35"/>
      <c r="D25" s="83" t="str">
        <f t="shared" si="4"/>
        <v/>
      </c>
      <c r="E25" s="84">
        <f>IFERROR(VLOOKUP(D25,'Structure projet '!D:E,2,FALSE),"")</f>
        <v>0</v>
      </c>
      <c r="F25" s="35"/>
      <c r="G25" s="35"/>
      <c r="H25" s="35"/>
      <c r="I25" s="42"/>
      <c r="J25" s="54"/>
      <c r="K25" s="183" t="str">
        <f t="shared" si="5"/>
        <v/>
      </c>
      <c r="L25" s="55"/>
      <c r="M25" s="41"/>
      <c r="N25" s="183" t="str">
        <f t="shared" si="3"/>
        <v/>
      </c>
      <c r="O25" s="40"/>
    </row>
    <row r="26" spans="1:15" ht="18" customHeight="1" x14ac:dyDescent="0.35">
      <c r="A26" s="35"/>
      <c r="B26" s="35"/>
      <c r="C26" s="35"/>
      <c r="D26" s="83" t="str">
        <f t="shared" si="4"/>
        <v/>
      </c>
      <c r="E26" s="84">
        <f>IFERROR(VLOOKUP(D26,'Structure projet '!D:E,2,FALSE),"")</f>
        <v>0</v>
      </c>
      <c r="F26" s="35"/>
      <c r="G26" s="35"/>
      <c r="H26" s="35"/>
      <c r="I26" s="42"/>
      <c r="J26" s="54"/>
      <c r="K26" s="183" t="str">
        <f t="shared" si="5"/>
        <v/>
      </c>
      <c r="L26" s="55"/>
      <c r="M26" s="41"/>
      <c r="N26" s="183" t="str">
        <f t="shared" si="3"/>
        <v/>
      </c>
      <c r="O26" s="40"/>
    </row>
    <row r="27" spans="1:15" ht="18" customHeight="1" x14ac:dyDescent="0.35">
      <c r="A27" s="35"/>
      <c r="B27" s="35"/>
      <c r="C27" s="35"/>
      <c r="D27" s="83" t="str">
        <f t="shared" si="4"/>
        <v/>
      </c>
      <c r="E27" s="84">
        <f>IFERROR(VLOOKUP(D27,'Structure projet '!D:E,2,FALSE),"")</f>
        <v>0</v>
      </c>
      <c r="F27" s="35"/>
      <c r="G27" s="35"/>
      <c r="H27" s="35"/>
      <c r="I27" s="42"/>
      <c r="J27" s="54"/>
      <c r="K27" s="183" t="str">
        <f t="shared" si="5"/>
        <v/>
      </c>
      <c r="L27" s="55"/>
      <c r="M27" s="41"/>
      <c r="N27" s="183" t="str">
        <f t="shared" si="3"/>
        <v/>
      </c>
      <c r="O27" s="40"/>
    </row>
    <row r="28" spans="1:15" ht="18" customHeight="1" x14ac:dyDescent="0.35">
      <c r="A28" s="35"/>
      <c r="B28" s="35"/>
      <c r="C28" s="35"/>
      <c r="D28" s="83" t="str">
        <f t="shared" si="4"/>
        <v/>
      </c>
      <c r="E28" s="84">
        <f>IFERROR(VLOOKUP(D28,'Structure projet '!D:E,2,FALSE),"")</f>
        <v>0</v>
      </c>
      <c r="F28" s="35"/>
      <c r="G28" s="35"/>
      <c r="H28" s="35"/>
      <c r="I28" s="42"/>
      <c r="J28" s="54"/>
      <c r="K28" s="183" t="str">
        <f t="shared" si="5"/>
        <v/>
      </c>
      <c r="L28" s="55"/>
      <c r="M28" s="41"/>
      <c r="N28" s="183" t="str">
        <f t="shared" si="3"/>
        <v/>
      </c>
      <c r="O28" s="40"/>
    </row>
    <row r="29" spans="1:15" ht="18" customHeight="1" x14ac:dyDescent="0.35">
      <c r="A29" s="35"/>
      <c r="B29" s="35"/>
      <c r="C29" s="35"/>
      <c r="D29" s="83" t="str">
        <f t="shared" si="4"/>
        <v/>
      </c>
      <c r="E29" s="84">
        <f>IFERROR(VLOOKUP(D29,'Structure projet '!D:E,2,FALSE),"")</f>
        <v>0</v>
      </c>
      <c r="F29" s="35"/>
      <c r="G29" s="35"/>
      <c r="H29" s="35"/>
      <c r="I29" s="42"/>
      <c r="J29" s="54"/>
      <c r="K29" s="183" t="str">
        <f t="shared" si="5"/>
        <v/>
      </c>
      <c r="L29" s="55"/>
      <c r="M29" s="41"/>
      <c r="N29" s="183" t="str">
        <f t="shared" si="3"/>
        <v/>
      </c>
      <c r="O29" s="40"/>
    </row>
    <row r="30" spans="1:15" x14ac:dyDescent="0.35">
      <c r="A30" s="35"/>
      <c r="B30" s="35"/>
      <c r="C30" s="35"/>
      <c r="D30" s="83" t="str">
        <f t="shared" ref="D30:D63" si="6">CONCATENATE(A30,B30,C30)</f>
        <v/>
      </c>
      <c r="E30" s="84">
        <f>IFERROR(VLOOKUP(D30,'Structure projet '!D:E,2,FALSE),"")</f>
        <v>0</v>
      </c>
      <c r="F30" s="35"/>
      <c r="G30" s="35"/>
      <c r="H30" s="35"/>
      <c r="I30" s="42"/>
      <c r="J30" s="54"/>
      <c r="K30" s="183" t="str">
        <f t="shared" si="2"/>
        <v/>
      </c>
      <c r="L30" s="55"/>
      <c r="M30" s="41"/>
      <c r="N30" s="183" t="str">
        <f t="shared" si="3"/>
        <v/>
      </c>
      <c r="O30" s="40"/>
    </row>
    <row r="31" spans="1:15" x14ac:dyDescent="0.35">
      <c r="A31" s="35"/>
      <c r="B31" s="35"/>
      <c r="C31" s="35"/>
      <c r="D31" s="83" t="str">
        <f t="shared" si="6"/>
        <v/>
      </c>
      <c r="E31" s="84">
        <f>IFERROR(VLOOKUP(D31,'Structure projet '!D:E,2,FALSE),"")</f>
        <v>0</v>
      </c>
      <c r="F31" s="35"/>
      <c r="G31" s="35"/>
      <c r="H31" s="35"/>
      <c r="I31" s="42"/>
      <c r="J31" s="54"/>
      <c r="K31" s="183" t="str">
        <f t="shared" si="2"/>
        <v/>
      </c>
      <c r="L31" s="55"/>
      <c r="M31" s="41"/>
      <c r="N31" s="183" t="str">
        <f t="shared" si="3"/>
        <v/>
      </c>
      <c r="O31" s="40"/>
    </row>
    <row r="32" spans="1:15" x14ac:dyDescent="0.35">
      <c r="A32" s="35"/>
      <c r="B32" s="35"/>
      <c r="C32" s="35"/>
      <c r="D32" s="83" t="str">
        <f t="shared" si="6"/>
        <v/>
      </c>
      <c r="E32" s="84">
        <f>IFERROR(VLOOKUP(D32,'Structure projet '!D:E,2,FALSE),"")</f>
        <v>0</v>
      </c>
      <c r="F32" s="35"/>
      <c r="G32" s="35"/>
      <c r="H32" s="35"/>
      <c r="I32" s="42"/>
      <c r="J32" s="54"/>
      <c r="K32" s="183" t="str">
        <f t="shared" ref="K32:K63" si="7">IF(F32="","",I32/J32)</f>
        <v/>
      </c>
      <c r="L32" s="55"/>
      <c r="M32" s="41"/>
      <c r="N32" s="183" t="str">
        <f t="shared" si="3"/>
        <v/>
      </c>
      <c r="O32" s="40"/>
    </row>
    <row r="33" spans="1:15" x14ac:dyDescent="0.35">
      <c r="A33" s="35"/>
      <c r="B33" s="35"/>
      <c r="C33" s="35"/>
      <c r="D33" s="83" t="str">
        <f t="shared" si="6"/>
        <v/>
      </c>
      <c r="E33" s="84">
        <f>IFERROR(VLOOKUP(D33,'Structure projet '!D:E,2,FALSE),"")</f>
        <v>0</v>
      </c>
      <c r="F33" s="35"/>
      <c r="G33" s="35"/>
      <c r="H33" s="35"/>
      <c r="I33" s="42"/>
      <c r="J33" s="54"/>
      <c r="K33" s="183" t="str">
        <f t="shared" si="7"/>
        <v/>
      </c>
      <c r="L33" s="55"/>
      <c r="M33" s="41"/>
      <c r="N33" s="183" t="str">
        <f t="shared" si="3"/>
        <v/>
      </c>
      <c r="O33" s="40"/>
    </row>
    <row r="34" spans="1:15" x14ac:dyDescent="0.35">
      <c r="A34" s="35"/>
      <c r="B34" s="35"/>
      <c r="C34" s="35"/>
      <c r="D34" s="83" t="str">
        <f t="shared" si="6"/>
        <v/>
      </c>
      <c r="E34" s="84">
        <f>IFERROR(VLOOKUP(D34,'Structure projet '!D:E,2,FALSE),"")</f>
        <v>0</v>
      </c>
      <c r="F34" s="35"/>
      <c r="G34" s="35"/>
      <c r="H34" s="35"/>
      <c r="I34" s="42"/>
      <c r="J34" s="54"/>
      <c r="K34" s="183" t="str">
        <f t="shared" si="7"/>
        <v/>
      </c>
      <c r="L34" s="55"/>
      <c r="M34" s="41"/>
      <c r="N34" s="183" t="str">
        <f t="shared" si="3"/>
        <v/>
      </c>
      <c r="O34" s="40"/>
    </row>
    <row r="35" spans="1:15" x14ac:dyDescent="0.35">
      <c r="A35" s="35"/>
      <c r="B35" s="35"/>
      <c r="C35" s="35"/>
      <c r="D35" s="83" t="str">
        <f t="shared" si="6"/>
        <v/>
      </c>
      <c r="E35" s="84">
        <f>IFERROR(VLOOKUP(D35,'Structure projet '!D:E,2,FALSE),"")</f>
        <v>0</v>
      </c>
      <c r="F35" s="35"/>
      <c r="G35" s="35"/>
      <c r="H35" s="35"/>
      <c r="I35" s="42"/>
      <c r="J35" s="54"/>
      <c r="K35" s="183" t="str">
        <f t="shared" si="7"/>
        <v/>
      </c>
      <c r="L35" s="55"/>
      <c r="M35" s="41"/>
      <c r="N35" s="183" t="str">
        <f t="shared" si="3"/>
        <v/>
      </c>
      <c r="O35" s="40"/>
    </row>
    <row r="36" spans="1:15" x14ac:dyDescent="0.35">
      <c r="A36" s="35"/>
      <c r="B36" s="35"/>
      <c r="C36" s="35"/>
      <c r="D36" s="83" t="str">
        <f t="shared" si="6"/>
        <v/>
      </c>
      <c r="E36" s="84">
        <f>IFERROR(VLOOKUP(D36,'Structure projet '!D:E,2,FALSE),"")</f>
        <v>0</v>
      </c>
      <c r="F36" s="35"/>
      <c r="G36" s="35"/>
      <c r="H36" s="35"/>
      <c r="I36" s="42"/>
      <c r="J36" s="54"/>
      <c r="K36" s="183" t="str">
        <f t="shared" si="7"/>
        <v/>
      </c>
      <c r="L36" s="55"/>
      <c r="M36" s="41"/>
      <c r="N36" s="183" t="str">
        <f t="shared" si="3"/>
        <v/>
      </c>
      <c r="O36" s="40"/>
    </row>
    <row r="37" spans="1:15" x14ac:dyDescent="0.35">
      <c r="A37" s="35"/>
      <c r="B37" s="35"/>
      <c r="C37" s="35"/>
      <c r="D37" s="83" t="str">
        <f t="shared" si="6"/>
        <v/>
      </c>
      <c r="E37" s="84">
        <f>IFERROR(VLOOKUP(D37,'Structure projet '!D:E,2,FALSE),"")</f>
        <v>0</v>
      </c>
      <c r="F37" s="35"/>
      <c r="G37" s="35"/>
      <c r="H37" s="35"/>
      <c r="I37" s="42"/>
      <c r="J37" s="54"/>
      <c r="K37" s="183" t="str">
        <f t="shared" si="7"/>
        <v/>
      </c>
      <c r="L37" s="55"/>
      <c r="M37" s="41"/>
      <c r="N37" s="183" t="str">
        <f t="shared" si="3"/>
        <v/>
      </c>
      <c r="O37" s="40"/>
    </row>
    <row r="38" spans="1:15" x14ac:dyDescent="0.35">
      <c r="A38" s="35"/>
      <c r="B38" s="35"/>
      <c r="C38" s="35"/>
      <c r="D38" s="83" t="str">
        <f t="shared" si="6"/>
        <v/>
      </c>
      <c r="E38" s="84">
        <f>IFERROR(VLOOKUP(D38,'Structure projet '!D:E,2,FALSE),"")</f>
        <v>0</v>
      </c>
      <c r="F38" s="35"/>
      <c r="G38" s="35"/>
      <c r="H38" s="35"/>
      <c r="I38" s="42"/>
      <c r="J38" s="54"/>
      <c r="K38" s="183" t="str">
        <f t="shared" si="7"/>
        <v/>
      </c>
      <c r="L38" s="55"/>
      <c r="M38" s="41"/>
      <c r="N38" s="183" t="str">
        <f t="shared" si="3"/>
        <v/>
      </c>
      <c r="O38" s="40"/>
    </row>
    <row r="39" spans="1:15" x14ac:dyDescent="0.35">
      <c r="A39" s="35"/>
      <c r="B39" s="35"/>
      <c r="C39" s="35"/>
      <c r="D39" s="83" t="str">
        <f t="shared" si="6"/>
        <v/>
      </c>
      <c r="E39" s="84">
        <f>IFERROR(VLOOKUP(D39,'Structure projet '!D:E,2,FALSE),"")</f>
        <v>0</v>
      </c>
      <c r="F39" s="35"/>
      <c r="G39" s="35"/>
      <c r="H39" s="35"/>
      <c r="I39" s="42"/>
      <c r="J39" s="54"/>
      <c r="K39" s="183" t="str">
        <f t="shared" si="7"/>
        <v/>
      </c>
      <c r="L39" s="55"/>
      <c r="M39" s="41"/>
      <c r="N39" s="183" t="str">
        <f t="shared" si="3"/>
        <v/>
      </c>
      <c r="O39" s="40"/>
    </row>
    <row r="40" spans="1:15" x14ac:dyDescent="0.35">
      <c r="A40" s="35"/>
      <c r="B40" s="35"/>
      <c r="C40" s="35"/>
      <c r="D40" s="83" t="str">
        <f t="shared" si="6"/>
        <v/>
      </c>
      <c r="E40" s="84">
        <f>IFERROR(VLOOKUP(D40,'Structure projet '!D:E,2,FALSE),"")</f>
        <v>0</v>
      </c>
      <c r="F40" s="35"/>
      <c r="G40" s="35"/>
      <c r="H40" s="35"/>
      <c r="I40" s="42"/>
      <c r="J40" s="54"/>
      <c r="K40" s="183" t="str">
        <f t="shared" si="7"/>
        <v/>
      </c>
      <c r="L40" s="55"/>
      <c r="M40" s="41"/>
      <c r="N40" s="183" t="str">
        <f t="shared" si="3"/>
        <v/>
      </c>
      <c r="O40" s="40"/>
    </row>
    <row r="41" spans="1:15" x14ac:dyDescent="0.35">
      <c r="A41" s="35"/>
      <c r="B41" s="35"/>
      <c r="C41" s="35"/>
      <c r="D41" s="83" t="str">
        <f t="shared" si="6"/>
        <v/>
      </c>
      <c r="E41" s="84">
        <f>IFERROR(VLOOKUP(D41,'Structure projet '!D:E,2,FALSE),"")</f>
        <v>0</v>
      </c>
      <c r="F41" s="35"/>
      <c r="G41" s="35"/>
      <c r="H41" s="35"/>
      <c r="I41" s="42"/>
      <c r="J41" s="54"/>
      <c r="K41" s="183" t="str">
        <f t="shared" si="7"/>
        <v/>
      </c>
      <c r="L41" s="55"/>
      <c r="M41" s="41"/>
      <c r="N41" s="183" t="str">
        <f t="shared" ref="N41:N72" si="8">IF(F41="","",K41*M41*L41)</f>
        <v/>
      </c>
      <c r="O41" s="40"/>
    </row>
    <row r="42" spans="1:15" x14ac:dyDescent="0.35">
      <c r="A42" s="35"/>
      <c r="B42" s="35"/>
      <c r="C42" s="35"/>
      <c r="D42" s="83" t="str">
        <f t="shared" si="6"/>
        <v/>
      </c>
      <c r="E42" s="84">
        <f>IFERROR(VLOOKUP(D42,'Structure projet '!D:E,2,FALSE),"")</f>
        <v>0</v>
      </c>
      <c r="F42" s="35"/>
      <c r="G42" s="35"/>
      <c r="H42" s="35"/>
      <c r="I42" s="42"/>
      <c r="J42" s="54"/>
      <c r="K42" s="183" t="str">
        <f t="shared" si="7"/>
        <v/>
      </c>
      <c r="L42" s="55"/>
      <c r="M42" s="41"/>
      <c r="N42" s="183" t="str">
        <f t="shared" si="8"/>
        <v/>
      </c>
      <c r="O42" s="40"/>
    </row>
    <row r="43" spans="1:15" x14ac:dyDescent="0.35">
      <c r="A43" s="35"/>
      <c r="B43" s="35"/>
      <c r="C43" s="35"/>
      <c r="D43" s="83" t="str">
        <f t="shared" si="6"/>
        <v/>
      </c>
      <c r="E43" s="84">
        <f>IFERROR(VLOOKUP(D43,'Structure projet '!D:E,2,FALSE),"")</f>
        <v>0</v>
      </c>
      <c r="F43" s="35"/>
      <c r="G43" s="35"/>
      <c r="H43" s="35"/>
      <c r="I43" s="42"/>
      <c r="J43" s="54"/>
      <c r="K43" s="183" t="str">
        <f t="shared" si="7"/>
        <v/>
      </c>
      <c r="L43" s="55"/>
      <c r="M43" s="41"/>
      <c r="N43" s="183" t="str">
        <f t="shared" si="8"/>
        <v/>
      </c>
      <c r="O43" s="40"/>
    </row>
    <row r="44" spans="1:15" x14ac:dyDescent="0.35">
      <c r="A44" s="35"/>
      <c r="B44" s="35"/>
      <c r="C44" s="35"/>
      <c r="D44" s="83" t="str">
        <f t="shared" si="6"/>
        <v/>
      </c>
      <c r="E44" s="84">
        <f>IFERROR(VLOOKUP(D44,'Structure projet '!D:E,2,FALSE),"")</f>
        <v>0</v>
      </c>
      <c r="F44" s="35"/>
      <c r="G44" s="35"/>
      <c r="H44" s="35"/>
      <c r="I44" s="42"/>
      <c r="J44" s="54"/>
      <c r="K44" s="183" t="str">
        <f t="shared" si="7"/>
        <v/>
      </c>
      <c r="L44" s="55"/>
      <c r="M44" s="41"/>
      <c r="N44" s="183" t="str">
        <f t="shared" si="8"/>
        <v/>
      </c>
      <c r="O44" s="40"/>
    </row>
    <row r="45" spans="1:15" x14ac:dyDescent="0.35">
      <c r="A45" s="35"/>
      <c r="B45" s="35"/>
      <c r="C45" s="35"/>
      <c r="D45" s="83" t="str">
        <f t="shared" si="6"/>
        <v/>
      </c>
      <c r="E45" s="84">
        <f>IFERROR(VLOOKUP(D45,'Structure projet '!D:E,2,FALSE),"")</f>
        <v>0</v>
      </c>
      <c r="F45" s="35"/>
      <c r="G45" s="35"/>
      <c r="H45" s="35"/>
      <c r="I45" s="42"/>
      <c r="J45" s="54"/>
      <c r="K45" s="183" t="str">
        <f t="shared" si="7"/>
        <v/>
      </c>
      <c r="L45" s="55"/>
      <c r="M45" s="41"/>
      <c r="N45" s="183" t="str">
        <f t="shared" si="8"/>
        <v/>
      </c>
      <c r="O45" s="40"/>
    </row>
    <row r="46" spans="1:15" x14ac:dyDescent="0.35">
      <c r="A46" s="35"/>
      <c r="B46" s="35"/>
      <c r="C46" s="35"/>
      <c r="D46" s="83" t="str">
        <f t="shared" si="6"/>
        <v/>
      </c>
      <c r="E46" s="84">
        <f>IFERROR(VLOOKUP(D46,'Structure projet '!D:E,2,FALSE),"")</f>
        <v>0</v>
      </c>
      <c r="F46" s="35"/>
      <c r="G46" s="35"/>
      <c r="H46" s="35"/>
      <c r="I46" s="42"/>
      <c r="J46" s="54"/>
      <c r="K46" s="183" t="str">
        <f t="shared" si="7"/>
        <v/>
      </c>
      <c r="L46" s="55"/>
      <c r="M46" s="41"/>
      <c r="N46" s="183" t="str">
        <f t="shared" si="8"/>
        <v/>
      </c>
      <c r="O46" s="40"/>
    </row>
    <row r="47" spans="1:15" x14ac:dyDescent="0.35">
      <c r="A47" s="35"/>
      <c r="B47" s="35"/>
      <c r="C47" s="35"/>
      <c r="D47" s="83" t="str">
        <f t="shared" si="6"/>
        <v/>
      </c>
      <c r="E47" s="84">
        <f>IFERROR(VLOOKUP(D47,'Structure projet '!D:E,2,FALSE),"")</f>
        <v>0</v>
      </c>
      <c r="F47" s="35"/>
      <c r="G47" s="35"/>
      <c r="H47" s="35"/>
      <c r="I47" s="42"/>
      <c r="J47" s="54"/>
      <c r="K47" s="183" t="str">
        <f t="shared" si="7"/>
        <v/>
      </c>
      <c r="L47" s="55"/>
      <c r="M47" s="41"/>
      <c r="N47" s="183" t="str">
        <f t="shared" si="8"/>
        <v/>
      </c>
      <c r="O47" s="40"/>
    </row>
    <row r="48" spans="1:15" x14ac:dyDescent="0.35">
      <c r="A48" s="35"/>
      <c r="B48" s="35"/>
      <c r="C48" s="35"/>
      <c r="D48" s="83" t="str">
        <f t="shared" si="6"/>
        <v/>
      </c>
      <c r="E48" s="84">
        <f>IFERROR(VLOOKUP(D48,'Structure projet '!D:E,2,FALSE),"")</f>
        <v>0</v>
      </c>
      <c r="F48" s="35"/>
      <c r="G48" s="35"/>
      <c r="H48" s="35"/>
      <c r="I48" s="42"/>
      <c r="J48" s="54"/>
      <c r="K48" s="183" t="str">
        <f t="shared" si="7"/>
        <v/>
      </c>
      <c r="L48" s="55"/>
      <c r="M48" s="41"/>
      <c r="N48" s="183" t="str">
        <f t="shared" si="8"/>
        <v/>
      </c>
      <c r="O48" s="40"/>
    </row>
    <row r="49" spans="1:15" x14ac:dyDescent="0.35">
      <c r="A49" s="35"/>
      <c r="B49" s="35"/>
      <c r="C49" s="35"/>
      <c r="D49" s="83" t="str">
        <f t="shared" si="6"/>
        <v/>
      </c>
      <c r="E49" s="84">
        <f>IFERROR(VLOOKUP(D49,'Structure projet '!D:E,2,FALSE),"")</f>
        <v>0</v>
      </c>
      <c r="F49" s="35"/>
      <c r="G49" s="35"/>
      <c r="H49" s="35"/>
      <c r="I49" s="42"/>
      <c r="J49" s="54"/>
      <c r="K49" s="183" t="str">
        <f t="shared" si="7"/>
        <v/>
      </c>
      <c r="L49" s="55"/>
      <c r="M49" s="41"/>
      <c r="N49" s="183" t="str">
        <f t="shared" si="8"/>
        <v/>
      </c>
      <c r="O49" s="40"/>
    </row>
    <row r="50" spans="1:15" x14ac:dyDescent="0.35">
      <c r="A50" s="35"/>
      <c r="B50" s="35"/>
      <c r="C50" s="35"/>
      <c r="D50" s="83" t="str">
        <f t="shared" si="6"/>
        <v/>
      </c>
      <c r="E50" s="84">
        <f>IFERROR(VLOOKUP(D50,'Structure projet '!D:E,2,FALSE),"")</f>
        <v>0</v>
      </c>
      <c r="F50" s="35"/>
      <c r="G50" s="35"/>
      <c r="H50" s="35"/>
      <c r="I50" s="42"/>
      <c r="J50" s="54"/>
      <c r="K50" s="183" t="str">
        <f t="shared" si="7"/>
        <v/>
      </c>
      <c r="L50" s="55"/>
      <c r="M50" s="41"/>
      <c r="N50" s="183" t="str">
        <f t="shared" si="8"/>
        <v/>
      </c>
      <c r="O50" s="40"/>
    </row>
    <row r="51" spans="1:15" x14ac:dyDescent="0.35">
      <c r="A51" s="35"/>
      <c r="B51" s="35"/>
      <c r="C51" s="35"/>
      <c r="D51" s="83" t="str">
        <f t="shared" si="6"/>
        <v/>
      </c>
      <c r="E51" s="84">
        <f>IFERROR(VLOOKUP(D51,'Structure projet '!D:E,2,FALSE),"")</f>
        <v>0</v>
      </c>
      <c r="F51" s="35"/>
      <c r="G51" s="35"/>
      <c r="H51" s="35"/>
      <c r="I51" s="42"/>
      <c r="J51" s="54"/>
      <c r="K51" s="183" t="str">
        <f t="shared" si="7"/>
        <v/>
      </c>
      <c r="L51" s="55"/>
      <c r="M51" s="41"/>
      <c r="N51" s="183" t="str">
        <f t="shared" si="8"/>
        <v/>
      </c>
      <c r="O51" s="40"/>
    </row>
    <row r="52" spans="1:15" x14ac:dyDescent="0.35">
      <c r="A52" s="35"/>
      <c r="B52" s="35"/>
      <c r="C52" s="35"/>
      <c r="D52" s="83" t="str">
        <f t="shared" si="6"/>
        <v/>
      </c>
      <c r="E52" s="84">
        <f>IFERROR(VLOOKUP(D52,'Structure projet '!D:E,2,FALSE),"")</f>
        <v>0</v>
      </c>
      <c r="F52" s="35"/>
      <c r="G52" s="35"/>
      <c r="H52" s="35"/>
      <c r="I52" s="42"/>
      <c r="J52" s="54"/>
      <c r="K52" s="183" t="str">
        <f t="shared" si="7"/>
        <v/>
      </c>
      <c r="L52" s="55"/>
      <c r="M52" s="41"/>
      <c r="N52" s="183" t="str">
        <f t="shared" si="8"/>
        <v/>
      </c>
      <c r="O52" s="40"/>
    </row>
    <row r="53" spans="1:15" x14ac:dyDescent="0.35">
      <c r="A53" s="35"/>
      <c r="B53" s="35"/>
      <c r="C53" s="35"/>
      <c r="D53" s="83" t="str">
        <f t="shared" si="6"/>
        <v/>
      </c>
      <c r="E53" s="84">
        <f>IFERROR(VLOOKUP(D53,'Structure projet '!D:E,2,FALSE),"")</f>
        <v>0</v>
      </c>
      <c r="F53" s="35"/>
      <c r="G53" s="35"/>
      <c r="H53" s="35"/>
      <c r="I53" s="42"/>
      <c r="J53" s="54"/>
      <c r="K53" s="183" t="str">
        <f t="shared" si="7"/>
        <v/>
      </c>
      <c r="L53" s="55"/>
      <c r="M53" s="41"/>
      <c r="N53" s="183" t="str">
        <f t="shared" si="8"/>
        <v/>
      </c>
      <c r="O53" s="40"/>
    </row>
    <row r="54" spans="1:15" x14ac:dyDescent="0.35">
      <c r="A54" s="35"/>
      <c r="B54" s="35"/>
      <c r="C54" s="35"/>
      <c r="D54" s="83" t="str">
        <f t="shared" si="6"/>
        <v/>
      </c>
      <c r="E54" s="84">
        <f>IFERROR(VLOOKUP(D54,'Structure projet '!D:E,2,FALSE),"")</f>
        <v>0</v>
      </c>
      <c r="F54" s="35"/>
      <c r="G54" s="35"/>
      <c r="H54" s="35"/>
      <c r="I54" s="42"/>
      <c r="J54" s="54"/>
      <c r="K54" s="183" t="str">
        <f t="shared" si="7"/>
        <v/>
      </c>
      <c r="L54" s="55"/>
      <c r="M54" s="41"/>
      <c r="N54" s="183" t="str">
        <f t="shared" si="8"/>
        <v/>
      </c>
      <c r="O54" s="40"/>
    </row>
    <row r="55" spans="1:15" x14ac:dyDescent="0.35">
      <c r="A55" s="35"/>
      <c r="B55" s="35"/>
      <c r="C55" s="35"/>
      <c r="D55" s="83" t="str">
        <f t="shared" si="6"/>
        <v/>
      </c>
      <c r="E55" s="84">
        <f>IFERROR(VLOOKUP(D55,'Structure projet '!D:E,2,FALSE),"")</f>
        <v>0</v>
      </c>
      <c r="F55" s="35"/>
      <c r="G55" s="35"/>
      <c r="H55" s="35"/>
      <c r="I55" s="42"/>
      <c r="J55" s="54"/>
      <c r="K55" s="183" t="str">
        <f t="shared" si="7"/>
        <v/>
      </c>
      <c r="L55" s="55"/>
      <c r="M55" s="41"/>
      <c r="N55" s="183" t="str">
        <f t="shared" si="8"/>
        <v/>
      </c>
      <c r="O55" s="40"/>
    </row>
    <row r="56" spans="1:15" x14ac:dyDescent="0.35">
      <c r="A56" s="35"/>
      <c r="B56" s="35"/>
      <c r="C56" s="35"/>
      <c r="D56" s="83" t="str">
        <f t="shared" si="6"/>
        <v/>
      </c>
      <c r="E56" s="84">
        <f>IFERROR(VLOOKUP(D56,'Structure projet '!D:E,2,FALSE),"")</f>
        <v>0</v>
      </c>
      <c r="F56" s="35"/>
      <c r="G56" s="35"/>
      <c r="H56" s="35"/>
      <c r="I56" s="42"/>
      <c r="J56" s="54"/>
      <c r="K56" s="183" t="str">
        <f t="shared" si="7"/>
        <v/>
      </c>
      <c r="L56" s="55"/>
      <c r="M56" s="41"/>
      <c r="N56" s="183" t="str">
        <f t="shared" si="8"/>
        <v/>
      </c>
      <c r="O56" s="40"/>
    </row>
    <row r="57" spans="1:15" x14ac:dyDescent="0.35">
      <c r="A57" s="35"/>
      <c r="B57" s="35"/>
      <c r="C57" s="35"/>
      <c r="D57" s="83" t="str">
        <f t="shared" si="6"/>
        <v/>
      </c>
      <c r="E57" s="84">
        <f>IFERROR(VLOOKUP(D57,'Structure projet '!D:E,2,FALSE),"")</f>
        <v>0</v>
      </c>
      <c r="F57" s="35"/>
      <c r="G57" s="35"/>
      <c r="H57" s="35"/>
      <c r="I57" s="42"/>
      <c r="J57" s="54"/>
      <c r="K57" s="183" t="str">
        <f t="shared" si="7"/>
        <v/>
      </c>
      <c r="L57" s="55"/>
      <c r="M57" s="41"/>
      <c r="N57" s="183" t="str">
        <f t="shared" si="8"/>
        <v/>
      </c>
      <c r="O57" s="40"/>
    </row>
    <row r="58" spans="1:15" x14ac:dyDescent="0.35">
      <c r="A58" s="35"/>
      <c r="B58" s="35"/>
      <c r="C58" s="35"/>
      <c r="D58" s="83" t="str">
        <f t="shared" si="6"/>
        <v/>
      </c>
      <c r="E58" s="84">
        <f>IFERROR(VLOOKUP(D58,'Structure projet '!D:E,2,FALSE),"")</f>
        <v>0</v>
      </c>
      <c r="F58" s="35"/>
      <c r="G58" s="35"/>
      <c r="H58" s="35"/>
      <c r="I58" s="42"/>
      <c r="J58" s="54"/>
      <c r="K58" s="183" t="str">
        <f t="shared" si="7"/>
        <v/>
      </c>
      <c r="L58" s="55"/>
      <c r="M58" s="41"/>
      <c r="N58" s="183" t="str">
        <f t="shared" si="8"/>
        <v/>
      </c>
      <c r="O58" s="40"/>
    </row>
    <row r="59" spans="1:15" x14ac:dyDescent="0.35">
      <c r="A59" s="35"/>
      <c r="B59" s="35"/>
      <c r="C59" s="35"/>
      <c r="D59" s="83" t="str">
        <f t="shared" si="6"/>
        <v/>
      </c>
      <c r="E59" s="84">
        <f>IFERROR(VLOOKUP(D59,'Structure projet '!D:E,2,FALSE),"")</f>
        <v>0</v>
      </c>
      <c r="F59" s="35"/>
      <c r="G59" s="35"/>
      <c r="H59" s="35"/>
      <c r="I59" s="42"/>
      <c r="J59" s="54"/>
      <c r="K59" s="183" t="str">
        <f t="shared" si="7"/>
        <v/>
      </c>
      <c r="L59" s="55"/>
      <c r="M59" s="41"/>
      <c r="N59" s="183" t="str">
        <f t="shared" si="8"/>
        <v/>
      </c>
      <c r="O59" s="40"/>
    </row>
    <row r="60" spans="1:15" x14ac:dyDescent="0.35">
      <c r="A60" s="35"/>
      <c r="B60" s="35"/>
      <c r="C60" s="35"/>
      <c r="D60" s="83" t="str">
        <f t="shared" si="6"/>
        <v/>
      </c>
      <c r="E60" s="84">
        <f>IFERROR(VLOOKUP(D60,'Structure projet '!D:E,2,FALSE),"")</f>
        <v>0</v>
      </c>
      <c r="F60" s="35"/>
      <c r="G60" s="35"/>
      <c r="H60" s="35"/>
      <c r="I60" s="42"/>
      <c r="J60" s="54"/>
      <c r="K60" s="183" t="str">
        <f t="shared" si="7"/>
        <v/>
      </c>
      <c r="L60" s="55"/>
      <c r="M60" s="41"/>
      <c r="N60" s="183" t="str">
        <f t="shared" si="8"/>
        <v/>
      </c>
      <c r="O60" s="40"/>
    </row>
    <row r="61" spans="1:15" x14ac:dyDescent="0.35">
      <c r="A61" s="35"/>
      <c r="B61" s="35"/>
      <c r="C61" s="35"/>
      <c r="D61" s="83" t="str">
        <f t="shared" si="6"/>
        <v/>
      </c>
      <c r="E61" s="84">
        <f>IFERROR(VLOOKUP(D61,'Structure projet '!D:E,2,FALSE),"")</f>
        <v>0</v>
      </c>
      <c r="F61" s="35"/>
      <c r="G61" s="35"/>
      <c r="H61" s="35"/>
      <c r="I61" s="42"/>
      <c r="J61" s="54"/>
      <c r="K61" s="183" t="str">
        <f t="shared" si="7"/>
        <v/>
      </c>
      <c r="L61" s="55"/>
      <c r="M61" s="41"/>
      <c r="N61" s="183" t="str">
        <f t="shared" si="8"/>
        <v/>
      </c>
      <c r="O61" s="40"/>
    </row>
    <row r="62" spans="1:15" x14ac:dyDescent="0.35">
      <c r="A62" s="35"/>
      <c r="B62" s="35"/>
      <c r="C62" s="35"/>
      <c r="D62" s="83" t="str">
        <f t="shared" si="6"/>
        <v/>
      </c>
      <c r="E62" s="84">
        <f>IFERROR(VLOOKUP(D62,'Structure projet '!D:E,2,FALSE),"")</f>
        <v>0</v>
      </c>
      <c r="F62" s="35"/>
      <c r="G62" s="35"/>
      <c r="H62" s="35"/>
      <c r="I62" s="42"/>
      <c r="J62" s="54"/>
      <c r="K62" s="183" t="str">
        <f t="shared" si="7"/>
        <v/>
      </c>
      <c r="L62" s="55"/>
      <c r="M62" s="41"/>
      <c r="N62" s="183" t="str">
        <f t="shared" si="8"/>
        <v/>
      </c>
      <c r="O62" s="40"/>
    </row>
    <row r="63" spans="1:15" x14ac:dyDescent="0.35">
      <c r="A63" s="35"/>
      <c r="B63" s="35"/>
      <c r="C63" s="35"/>
      <c r="D63" s="83" t="str">
        <f t="shared" si="6"/>
        <v/>
      </c>
      <c r="E63" s="84">
        <f>IFERROR(VLOOKUP(D63,'Structure projet '!D:E,2,FALSE),"")</f>
        <v>0</v>
      </c>
      <c r="F63" s="35"/>
      <c r="G63" s="35"/>
      <c r="H63" s="35"/>
      <c r="I63" s="42"/>
      <c r="J63" s="54"/>
      <c r="K63" s="183" t="str">
        <f t="shared" si="7"/>
        <v/>
      </c>
      <c r="L63" s="55"/>
      <c r="M63" s="41"/>
      <c r="N63" s="183" t="str">
        <f t="shared" si="8"/>
        <v/>
      </c>
      <c r="O63" s="40"/>
    </row>
    <row r="64" spans="1:15" x14ac:dyDescent="0.35">
      <c r="A64" s="35"/>
      <c r="B64" s="35"/>
      <c r="C64" s="35"/>
      <c r="D64" s="83" t="str">
        <f t="shared" ref="D64:D82" si="9">CONCATENATE(A64,B64,C64)</f>
        <v/>
      </c>
      <c r="E64" s="84">
        <f>IFERROR(VLOOKUP(D64,'Structure projet '!D:E,2,FALSE),"")</f>
        <v>0</v>
      </c>
      <c r="F64" s="35"/>
      <c r="G64" s="35"/>
      <c r="H64" s="35"/>
      <c r="I64" s="42"/>
      <c r="J64" s="54"/>
      <c r="K64" s="183" t="str">
        <f t="shared" ref="K64:K82" si="10">IF(F64="","",I64/J64)</f>
        <v/>
      </c>
      <c r="L64" s="55"/>
      <c r="M64" s="41"/>
      <c r="N64" s="183" t="str">
        <f t="shared" si="8"/>
        <v/>
      </c>
      <c r="O64" s="40"/>
    </row>
    <row r="65" spans="1:15" x14ac:dyDescent="0.35">
      <c r="A65" s="35"/>
      <c r="B65" s="35"/>
      <c r="C65" s="35"/>
      <c r="D65" s="83" t="str">
        <f t="shared" si="9"/>
        <v/>
      </c>
      <c r="E65" s="84">
        <f>IFERROR(VLOOKUP(D65,'Structure projet '!D:E,2,FALSE),"")</f>
        <v>0</v>
      </c>
      <c r="F65" s="35"/>
      <c r="G65" s="35"/>
      <c r="H65" s="35"/>
      <c r="I65" s="42"/>
      <c r="J65" s="54"/>
      <c r="K65" s="183" t="str">
        <f t="shared" si="10"/>
        <v/>
      </c>
      <c r="L65" s="55"/>
      <c r="M65" s="41"/>
      <c r="N65" s="183" t="str">
        <f t="shared" si="8"/>
        <v/>
      </c>
      <c r="O65" s="40"/>
    </row>
    <row r="66" spans="1:15" x14ac:dyDescent="0.35">
      <c r="A66" s="35"/>
      <c r="B66" s="35"/>
      <c r="C66" s="35"/>
      <c r="D66" s="83" t="str">
        <f t="shared" si="9"/>
        <v/>
      </c>
      <c r="E66" s="84">
        <f>IFERROR(VLOOKUP(D66,'Structure projet '!D:E,2,FALSE),"")</f>
        <v>0</v>
      </c>
      <c r="F66" s="35"/>
      <c r="G66" s="35"/>
      <c r="H66" s="35"/>
      <c r="I66" s="42"/>
      <c r="J66" s="54"/>
      <c r="K66" s="183" t="str">
        <f t="shared" si="10"/>
        <v/>
      </c>
      <c r="L66" s="55"/>
      <c r="M66" s="41"/>
      <c r="N66" s="183" t="str">
        <f t="shared" si="8"/>
        <v/>
      </c>
      <c r="O66" s="40"/>
    </row>
    <row r="67" spans="1:15" x14ac:dyDescent="0.35">
      <c r="A67" s="35"/>
      <c r="B67" s="35"/>
      <c r="C67" s="35"/>
      <c r="D67" s="83" t="str">
        <f t="shared" si="9"/>
        <v/>
      </c>
      <c r="E67" s="84">
        <f>IFERROR(VLOOKUP(D67,'Structure projet '!D:E,2,FALSE),"")</f>
        <v>0</v>
      </c>
      <c r="F67" s="35"/>
      <c r="G67" s="35"/>
      <c r="H67" s="35"/>
      <c r="I67" s="42"/>
      <c r="J67" s="54"/>
      <c r="K67" s="183" t="str">
        <f t="shared" si="10"/>
        <v/>
      </c>
      <c r="L67" s="55"/>
      <c r="M67" s="41"/>
      <c r="N67" s="183" t="str">
        <f t="shared" si="8"/>
        <v/>
      </c>
      <c r="O67" s="40"/>
    </row>
    <row r="68" spans="1:15" x14ac:dyDescent="0.35">
      <c r="A68" s="35"/>
      <c r="B68" s="35"/>
      <c r="C68" s="35"/>
      <c r="D68" s="83" t="str">
        <f t="shared" si="9"/>
        <v/>
      </c>
      <c r="E68" s="84">
        <f>IFERROR(VLOOKUP(D68,'Structure projet '!D:E,2,FALSE),"")</f>
        <v>0</v>
      </c>
      <c r="F68" s="35"/>
      <c r="G68" s="35"/>
      <c r="H68" s="35"/>
      <c r="I68" s="42"/>
      <c r="J68" s="54"/>
      <c r="K68" s="183" t="str">
        <f t="shared" si="10"/>
        <v/>
      </c>
      <c r="L68" s="55"/>
      <c r="M68" s="41"/>
      <c r="N68" s="183" t="str">
        <f t="shared" si="8"/>
        <v/>
      </c>
      <c r="O68" s="40"/>
    </row>
    <row r="69" spans="1:15" x14ac:dyDescent="0.35">
      <c r="A69" s="35"/>
      <c r="B69" s="35"/>
      <c r="C69" s="35"/>
      <c r="D69" s="83" t="str">
        <f t="shared" si="9"/>
        <v/>
      </c>
      <c r="E69" s="84">
        <f>IFERROR(VLOOKUP(D69,'Structure projet '!D:E,2,FALSE),"")</f>
        <v>0</v>
      </c>
      <c r="F69" s="35"/>
      <c r="G69" s="35"/>
      <c r="H69" s="35"/>
      <c r="I69" s="42"/>
      <c r="J69" s="54"/>
      <c r="K69" s="183" t="str">
        <f t="shared" si="10"/>
        <v/>
      </c>
      <c r="L69" s="55"/>
      <c r="M69" s="41"/>
      <c r="N69" s="183" t="str">
        <f t="shared" si="8"/>
        <v/>
      </c>
      <c r="O69" s="40"/>
    </row>
    <row r="70" spans="1:15" x14ac:dyDescent="0.35">
      <c r="A70" s="35"/>
      <c r="B70" s="35"/>
      <c r="C70" s="35"/>
      <c r="D70" s="83" t="str">
        <f t="shared" si="9"/>
        <v/>
      </c>
      <c r="E70" s="84">
        <f>IFERROR(VLOOKUP(D70,'Structure projet '!D:E,2,FALSE),"")</f>
        <v>0</v>
      </c>
      <c r="F70" s="35"/>
      <c r="G70" s="35"/>
      <c r="H70" s="35"/>
      <c r="I70" s="42"/>
      <c r="J70" s="54"/>
      <c r="K70" s="183" t="str">
        <f t="shared" si="10"/>
        <v/>
      </c>
      <c r="L70" s="55"/>
      <c r="M70" s="41"/>
      <c r="N70" s="183" t="str">
        <f t="shared" si="8"/>
        <v/>
      </c>
      <c r="O70" s="40"/>
    </row>
    <row r="71" spans="1:15" x14ac:dyDescent="0.35">
      <c r="A71" s="35"/>
      <c r="B71" s="35"/>
      <c r="C71" s="35"/>
      <c r="D71" s="83" t="str">
        <f t="shared" si="9"/>
        <v/>
      </c>
      <c r="E71" s="84">
        <f>IFERROR(VLOOKUP(D71,'Structure projet '!D:E,2,FALSE),"")</f>
        <v>0</v>
      </c>
      <c r="F71" s="35"/>
      <c r="G71" s="35"/>
      <c r="H71" s="35"/>
      <c r="I71" s="42"/>
      <c r="J71" s="54"/>
      <c r="K71" s="183" t="str">
        <f t="shared" si="10"/>
        <v/>
      </c>
      <c r="L71" s="55"/>
      <c r="M71" s="41"/>
      <c r="N71" s="183" t="str">
        <f t="shared" si="8"/>
        <v/>
      </c>
      <c r="O71" s="40"/>
    </row>
    <row r="72" spans="1:15" x14ac:dyDescent="0.35">
      <c r="A72" s="35"/>
      <c r="B72" s="35"/>
      <c r="C72" s="35"/>
      <c r="D72" s="83" t="str">
        <f t="shared" si="9"/>
        <v/>
      </c>
      <c r="E72" s="84">
        <f>IFERROR(VLOOKUP(D72,'Structure projet '!D:E,2,FALSE),"")</f>
        <v>0</v>
      </c>
      <c r="F72" s="35"/>
      <c r="G72" s="35"/>
      <c r="H72" s="35"/>
      <c r="I72" s="42"/>
      <c r="J72" s="54"/>
      <c r="K72" s="183" t="str">
        <f t="shared" si="10"/>
        <v/>
      </c>
      <c r="L72" s="55"/>
      <c r="M72" s="41"/>
      <c r="N72" s="183" t="str">
        <f t="shared" si="8"/>
        <v/>
      </c>
      <c r="O72" s="40"/>
    </row>
    <row r="73" spans="1:15" x14ac:dyDescent="0.35">
      <c r="A73" s="35"/>
      <c r="B73" s="35"/>
      <c r="C73" s="35"/>
      <c r="D73" s="83" t="str">
        <f t="shared" si="9"/>
        <v/>
      </c>
      <c r="E73" s="84">
        <f>IFERROR(VLOOKUP(D73,'Structure projet '!D:E,2,FALSE),"")</f>
        <v>0</v>
      </c>
      <c r="F73" s="35"/>
      <c r="G73" s="35"/>
      <c r="H73" s="35"/>
      <c r="I73" s="42"/>
      <c r="J73" s="54"/>
      <c r="K73" s="183" t="str">
        <f t="shared" si="10"/>
        <v/>
      </c>
      <c r="L73" s="55"/>
      <c r="M73" s="41"/>
      <c r="N73" s="183" t="str">
        <f t="shared" ref="N73:N82" si="11">IF(F73="","",K73*M73*L73)</f>
        <v/>
      </c>
      <c r="O73" s="40"/>
    </row>
    <row r="74" spans="1:15" x14ac:dyDescent="0.35">
      <c r="A74" s="35"/>
      <c r="B74" s="35"/>
      <c r="C74" s="35"/>
      <c r="D74" s="83" t="str">
        <f t="shared" si="9"/>
        <v/>
      </c>
      <c r="E74" s="84">
        <f>IFERROR(VLOOKUP(D74,'Structure projet '!D:E,2,FALSE),"")</f>
        <v>0</v>
      </c>
      <c r="F74" s="35"/>
      <c r="G74" s="35"/>
      <c r="H74" s="35"/>
      <c r="I74" s="42"/>
      <c r="J74" s="54"/>
      <c r="K74" s="183" t="str">
        <f t="shared" si="10"/>
        <v/>
      </c>
      <c r="L74" s="55"/>
      <c r="M74" s="41"/>
      <c r="N74" s="183" t="str">
        <f t="shared" si="11"/>
        <v/>
      </c>
      <c r="O74" s="40"/>
    </row>
    <row r="75" spans="1:15" x14ac:dyDescent="0.35">
      <c r="A75" s="35"/>
      <c r="B75" s="35"/>
      <c r="C75" s="35"/>
      <c r="D75" s="83" t="str">
        <f t="shared" si="9"/>
        <v/>
      </c>
      <c r="E75" s="84">
        <f>IFERROR(VLOOKUP(D75,'Structure projet '!D:E,2,FALSE),"")</f>
        <v>0</v>
      </c>
      <c r="F75" s="35"/>
      <c r="G75" s="35"/>
      <c r="H75" s="35"/>
      <c r="I75" s="42"/>
      <c r="J75" s="54"/>
      <c r="K75" s="183" t="str">
        <f t="shared" si="10"/>
        <v/>
      </c>
      <c r="L75" s="55"/>
      <c r="M75" s="41"/>
      <c r="N75" s="183" t="str">
        <f t="shared" si="11"/>
        <v/>
      </c>
      <c r="O75" s="40"/>
    </row>
    <row r="76" spans="1:15" x14ac:dyDescent="0.35">
      <c r="A76" s="35"/>
      <c r="B76" s="35"/>
      <c r="C76" s="35"/>
      <c r="D76" s="83" t="str">
        <f t="shared" si="9"/>
        <v/>
      </c>
      <c r="E76" s="84">
        <f>IFERROR(VLOOKUP(D76,'Structure projet '!D:E,2,FALSE),"")</f>
        <v>0</v>
      </c>
      <c r="F76" s="35"/>
      <c r="G76" s="35"/>
      <c r="H76" s="35"/>
      <c r="I76" s="42"/>
      <c r="J76" s="54"/>
      <c r="K76" s="183" t="str">
        <f t="shared" si="10"/>
        <v/>
      </c>
      <c r="L76" s="55"/>
      <c r="M76" s="41"/>
      <c r="N76" s="183" t="str">
        <f t="shared" si="11"/>
        <v/>
      </c>
      <c r="O76" s="40"/>
    </row>
    <row r="77" spans="1:15" x14ac:dyDescent="0.35">
      <c r="A77" s="35"/>
      <c r="B77" s="35"/>
      <c r="C77" s="35"/>
      <c r="D77" s="83" t="str">
        <f t="shared" si="9"/>
        <v/>
      </c>
      <c r="E77" s="84">
        <f>IFERROR(VLOOKUP(D77,'Structure projet '!D:E,2,FALSE),"")</f>
        <v>0</v>
      </c>
      <c r="F77" s="35"/>
      <c r="G77" s="35"/>
      <c r="H77" s="35"/>
      <c r="I77" s="42"/>
      <c r="J77" s="54"/>
      <c r="K77" s="183" t="str">
        <f t="shared" si="10"/>
        <v/>
      </c>
      <c r="L77" s="55"/>
      <c r="M77" s="41"/>
      <c r="N77" s="183" t="str">
        <f t="shared" si="11"/>
        <v/>
      </c>
      <c r="O77" s="40"/>
    </row>
    <row r="78" spans="1:15" x14ac:dyDescent="0.35">
      <c r="A78" s="35"/>
      <c r="B78" s="35"/>
      <c r="C78" s="35"/>
      <c r="D78" s="83" t="str">
        <f t="shared" si="9"/>
        <v/>
      </c>
      <c r="E78" s="84">
        <f>IFERROR(VLOOKUP(D78,'Structure projet '!D:E,2,FALSE),"")</f>
        <v>0</v>
      </c>
      <c r="F78" s="35"/>
      <c r="G78" s="35"/>
      <c r="H78" s="35"/>
      <c r="I78" s="42"/>
      <c r="J78" s="54"/>
      <c r="K78" s="183" t="str">
        <f t="shared" si="10"/>
        <v/>
      </c>
      <c r="L78" s="55"/>
      <c r="M78" s="41"/>
      <c r="N78" s="183" t="str">
        <f t="shared" si="11"/>
        <v/>
      </c>
      <c r="O78" s="40"/>
    </row>
    <row r="79" spans="1:15" x14ac:dyDescent="0.35">
      <c r="A79" s="35"/>
      <c r="B79" s="35"/>
      <c r="C79" s="35"/>
      <c r="D79" s="83" t="str">
        <f t="shared" si="9"/>
        <v/>
      </c>
      <c r="E79" s="84">
        <f>IFERROR(VLOOKUP(D79,'Structure projet '!D:E,2,FALSE),"")</f>
        <v>0</v>
      </c>
      <c r="F79" s="35"/>
      <c r="G79" s="35"/>
      <c r="H79" s="35"/>
      <c r="I79" s="42"/>
      <c r="J79" s="54"/>
      <c r="K79" s="183" t="str">
        <f t="shared" si="10"/>
        <v/>
      </c>
      <c r="L79" s="55"/>
      <c r="M79" s="41"/>
      <c r="N79" s="183" t="str">
        <f t="shared" si="11"/>
        <v/>
      </c>
      <c r="O79" s="40"/>
    </row>
    <row r="80" spans="1:15" x14ac:dyDescent="0.35">
      <c r="A80" s="35"/>
      <c r="B80" s="35"/>
      <c r="C80" s="35"/>
      <c r="D80" s="83" t="str">
        <f t="shared" si="9"/>
        <v/>
      </c>
      <c r="E80" s="84">
        <f>IFERROR(VLOOKUP(D80,'Structure projet '!D:E,2,FALSE),"")</f>
        <v>0</v>
      </c>
      <c r="F80" s="35"/>
      <c r="G80" s="35"/>
      <c r="H80" s="35"/>
      <c r="I80" s="42"/>
      <c r="J80" s="54"/>
      <c r="K80" s="183" t="str">
        <f t="shared" si="10"/>
        <v/>
      </c>
      <c r="L80" s="55"/>
      <c r="M80" s="41"/>
      <c r="N80" s="183" t="str">
        <f t="shared" si="11"/>
        <v/>
      </c>
      <c r="O80" s="40"/>
    </row>
    <row r="81" spans="1:15" x14ac:dyDescent="0.35">
      <c r="A81" s="35"/>
      <c r="B81" s="35"/>
      <c r="C81" s="35"/>
      <c r="D81" s="83" t="str">
        <f t="shared" si="9"/>
        <v/>
      </c>
      <c r="E81" s="84">
        <f>IFERROR(VLOOKUP(D81,'Structure projet '!D:E,2,FALSE),"")</f>
        <v>0</v>
      </c>
      <c r="F81" s="35"/>
      <c r="G81" s="35"/>
      <c r="H81" s="35"/>
      <c r="I81" s="42"/>
      <c r="J81" s="54"/>
      <c r="K81" s="183" t="str">
        <f t="shared" si="10"/>
        <v/>
      </c>
      <c r="L81" s="55"/>
      <c r="M81" s="41"/>
      <c r="N81" s="183" t="str">
        <f t="shared" si="11"/>
        <v/>
      </c>
      <c r="O81" s="40"/>
    </row>
    <row r="82" spans="1:15" x14ac:dyDescent="0.35">
      <c r="A82" s="35"/>
      <c r="B82" s="35"/>
      <c r="C82" s="35"/>
      <c r="D82" s="83" t="str">
        <f t="shared" si="9"/>
        <v/>
      </c>
      <c r="E82" s="84">
        <f>IFERROR(VLOOKUP(D82,'Structure projet '!D:E,2,FALSE),"")</f>
        <v>0</v>
      </c>
      <c r="F82" s="35"/>
      <c r="G82" s="35"/>
      <c r="H82" s="35"/>
      <c r="I82" s="42"/>
      <c r="J82" s="54"/>
      <c r="K82" s="183" t="str">
        <f t="shared" si="10"/>
        <v/>
      </c>
      <c r="L82" s="55"/>
      <c r="M82" s="41"/>
      <c r="N82" s="183" t="str">
        <f t="shared" si="11"/>
        <v/>
      </c>
      <c r="O82" s="40"/>
    </row>
    <row r="83" spans="1:15" x14ac:dyDescent="0.35">
      <c r="K83" s="90"/>
    </row>
  </sheetData>
  <sheetProtection algorithmName="SHA-512" hashValue="jJwAs+Fiz4xYCgCxkpcv3zYDTUu9e0Eww8tGC76nHia6pz4a2Wh3QjTlypldHhvGYKOvXPNFTG4D7F4a+ylE0g==" saltValue="x7j0qSLlVJluRMU7bM9nqA==" spinCount="100000" sheet="1" formatCells="0" formatColumns="0" formatRows="0" insertColumns="0" insertRows="0" insertHyperlinks="0" deleteColumns="0" deleteRows="0" sort="0" autoFilter="0" pivotTables="0"/>
  <autoFilter ref="A8:O9" xr:uid="{00000000-0009-0000-0000-000004000000}"/>
  <mergeCells count="2">
    <mergeCell ref="A5:I6"/>
    <mergeCell ref="A2:F2"/>
  </mergeCells>
  <phoneticPr fontId="46" type="noConversion"/>
  <conditionalFormatting sqref="H9:J9 F30:F82 L30:M82 H30:J82">
    <cfRule type="containsBlanks" dxfId="91" priority="71">
      <formula>LEN(TRIM(F9))=0</formula>
    </cfRule>
  </conditionalFormatting>
  <conditionalFormatting sqref="A30:B82">
    <cfRule type="containsBlanks" dxfId="90" priority="62">
      <formula>LEN(TRIM(A30))=0</formula>
    </cfRule>
  </conditionalFormatting>
  <conditionalFormatting sqref="G9:G82">
    <cfRule type="containsBlanks" dxfId="89" priority="44">
      <formula>LEN(TRIM(G9))=0</formula>
    </cfRule>
  </conditionalFormatting>
  <conditionalFormatting sqref="F9 L9:M9">
    <cfRule type="containsBlanks" dxfId="88" priority="42">
      <formula>LEN(TRIM(F9))=0</formula>
    </cfRule>
  </conditionalFormatting>
  <conditionalFormatting sqref="A9:B9">
    <cfRule type="containsBlanks" dxfId="87" priority="41">
      <formula>LEN(TRIM(A9))=0</formula>
    </cfRule>
  </conditionalFormatting>
  <conditionalFormatting sqref="A10:B10">
    <cfRule type="containsBlanks" dxfId="86" priority="48">
      <formula>LEN(TRIM(A10))=0</formula>
    </cfRule>
  </conditionalFormatting>
  <conditionalFormatting sqref="F10">
    <cfRule type="containsBlanks" dxfId="85" priority="47">
      <formula>LEN(TRIM(F10))=0</formula>
    </cfRule>
  </conditionalFormatting>
  <conditionalFormatting sqref="H10:J10">
    <cfRule type="containsBlanks" dxfId="84" priority="46">
      <formula>LEN(TRIM(H10))=0</formula>
    </cfRule>
  </conditionalFormatting>
  <conditionalFormatting sqref="L10:M10">
    <cfRule type="containsBlanks" dxfId="83" priority="45">
      <formula>LEN(TRIM(L10))=0</formula>
    </cfRule>
  </conditionalFormatting>
  <conditionalFormatting sqref="G1:J1">
    <cfRule type="containsBlanks" dxfId="82" priority="38">
      <formula>LEN(TRIM(G1))=0</formula>
    </cfRule>
  </conditionalFormatting>
  <conditionalFormatting sqref="F1 L1:M1">
    <cfRule type="containsBlanks" dxfId="81" priority="37">
      <formula>LEN(TRIM(F1))=0</formula>
    </cfRule>
  </conditionalFormatting>
  <conditionalFormatting sqref="A1:B1">
    <cfRule type="containsBlanks" dxfId="80" priority="36">
      <formula>LEN(TRIM(A1))=0</formula>
    </cfRule>
  </conditionalFormatting>
  <conditionalFormatting sqref="H11:J29">
    <cfRule type="containsBlanks" dxfId="79" priority="6">
      <formula>LEN(TRIM(H11))=0</formula>
    </cfRule>
  </conditionalFormatting>
  <conditionalFormatting sqref="F11:F29 L11:M29">
    <cfRule type="containsBlanks" dxfId="78" priority="5">
      <formula>LEN(TRIM(F11))=0</formula>
    </cfRule>
  </conditionalFormatting>
  <conditionalFormatting sqref="A11:B29">
    <cfRule type="containsBlanks" dxfId="77" priority="4">
      <formula>LEN(TRIM(A11))=0</formula>
    </cfRule>
  </conditionalFormatting>
  <conditionalFormatting sqref="N1 N11:N82">
    <cfRule type="expression" dxfId="76" priority="131">
      <formula>AVERAGEIF($H$5:H6,H1,$I$5:$I$12)&lt;SUMIF($H$8:$H$12,H1,$N$8:$N$12)</formula>
    </cfRule>
  </conditionalFormatting>
  <conditionalFormatting sqref="N9">
    <cfRule type="expression" dxfId="75" priority="133">
      <formula>AVERAGEIF($H$5:H12,H9,$I$5:$I$12)&lt;SUMIF($H$8:$H$12,H9,$N$8:$N$12)</formula>
    </cfRule>
  </conditionalFormatting>
  <conditionalFormatting sqref="N10">
    <cfRule type="expression" dxfId="74" priority="134">
      <formula>AVERAGEIF($H$5:H12,H10,$I$5:$I$12)&lt;SUMIF($H$8:$H$12,H10,$N$8:$N$12)</formula>
    </cfRule>
  </conditionalFormatting>
  <conditionalFormatting sqref="K11:K82">
    <cfRule type="expression" dxfId="73" priority="1">
      <formula>AVERAGEIF(E$5:$H16,E11,$I$5:$I$12)&lt;SUMIF($H$8:$H$12,E11,$N$8:$N$12)</formula>
    </cfRule>
  </conditionalFormatting>
  <conditionalFormatting sqref="K9">
    <cfRule type="expression" dxfId="72" priority="2">
      <formula>AVERAGEIF(E$5:$H12,E9,$I$5:$I$12)&lt;SUMIF($H$8:$H$12,E9,$N$8:$N$12)</formula>
    </cfRule>
  </conditionalFormatting>
  <conditionalFormatting sqref="K10">
    <cfRule type="expression" dxfId="71" priority="3">
      <formula>AVERAGEIF(E$5:$H12,E10,$I$5:$I$12)&lt;SUMIF($H$8:$H$12,E10,$N$8:$N$12)</formula>
    </cfRule>
  </conditionalFormatting>
  <dataValidations count="5">
    <dataValidation type="list" allowBlank="1" showInputMessage="1" showErrorMessage="1" sqref="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WVM10 WLQ10 WBU10" xr:uid="{00000000-0002-0000-0400-000000000000}">
      <formula1>MC_COURT</formula1>
    </dataValidation>
    <dataValidation type="list" allowBlank="1" showInputMessage="1" showErrorMessage="1" sqref="B1 B9:B82" xr:uid="{00000000-0002-0000-0400-000001000000}">
      <formula1>"1,2,3,4,5,6,7,8,9,10,11,12,13,14,15"</formula1>
    </dataValidation>
    <dataValidation type="list" allowBlank="1" showInputMessage="1" showErrorMessage="1" sqref="A1 A9:A82" xr:uid="{00000000-0002-0000-0400-000002000000}">
      <formula1>"LOT 0,LOT 1,LOT 2,LOT 3,LOT 4,LOT 5,LOT 6,LOT 7,LOT 8,LOT 9,LOT 10,LOT 11,LOT 12,LOT 13,LOT 14,LOT 14,LOT 15"</formula1>
    </dataValidation>
    <dataValidation type="list" allowBlank="1" showInputMessage="1" showErrorMessage="1" sqref="C1 C9:C82" xr:uid="{00000000-0002-0000-0400-000003000000}">
      <formula1>",,1,2,3,4,5,6,7,8,9,10,11,12,13,14,15"</formula1>
    </dataValidation>
    <dataValidation type="list" allowBlank="1" showInputMessage="1" showErrorMessage="1" sqref="G9:G82" xr:uid="{00000000-0002-0000-0400-000004000000}">
      <formula1>"SEM01,SEM02,SEM03,SEM04,SEM05,SEM06,SEM07,SEM08,SEM09,SEM10,SEM11,SEM12,SEM13,SEM14,SEM15,SEM16"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Partenaires!$B$10:$F$10</xm:f>
          </x14:formula1>
          <xm:sqref>F1 F9:F82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sheetPr>
  <dimension ref="A1:AF48"/>
  <sheetViews>
    <sheetView showGridLines="0" zoomScale="40" zoomScaleNormal="40" workbookViewId="0">
      <pane ySplit="9" topLeftCell="A10" activePane="bottomLeft" state="frozen"/>
      <selection pane="bottomLeft" activeCell="E12" sqref="E12"/>
    </sheetView>
  </sheetViews>
  <sheetFormatPr baseColWidth="10" defaultColWidth="11.453125" defaultRowHeight="14.5" x14ac:dyDescent="0.35"/>
  <cols>
    <col min="1" max="2" width="11.453125" style="76"/>
    <col min="3" max="3" width="17.54296875" style="76" customWidth="1"/>
    <col min="4" max="4" width="46.1796875" style="76" bestFit="1" customWidth="1"/>
    <col min="5" max="5" width="17.54296875" style="76" customWidth="1"/>
    <col min="6" max="6" width="13.7265625" style="76" customWidth="1"/>
    <col min="7" max="7" width="11.453125" style="76"/>
    <col min="8" max="8" width="24.453125" style="76" customWidth="1"/>
    <col min="9" max="9" width="20.453125" style="76" customWidth="1"/>
    <col min="10" max="10" width="11.453125" style="76"/>
    <col min="11" max="11" width="46.7265625" style="76" customWidth="1"/>
    <col min="12" max="12" width="19.81640625" style="86" customWidth="1"/>
    <col min="13" max="13" width="42.453125" style="76" customWidth="1"/>
    <col min="14" max="16384" width="11.453125" style="76"/>
  </cols>
  <sheetData>
    <row r="1" spans="1:32" ht="12.75" customHeight="1" x14ac:dyDescent="0.35">
      <c r="A1" s="35"/>
      <c r="B1" s="35"/>
      <c r="C1" s="35"/>
      <c r="D1" s="83" t="str">
        <f t="shared" ref="D1" si="0">CONCATENATE(CONCATENATE(A1,B1,C1),F1,G1,H1)</f>
        <v/>
      </c>
      <c r="E1" s="84">
        <f>IFERROR(VLOOKUP(CONCATENATE(A1,B1,C1),'Structure projet '!D:E,2,FALSE),"")</f>
        <v>0</v>
      </c>
      <c r="F1" s="35"/>
      <c r="G1" s="35"/>
      <c r="H1" s="35"/>
      <c r="I1" s="37"/>
      <c r="J1" s="38"/>
      <c r="K1" s="35"/>
      <c r="L1" s="43"/>
      <c r="M1" s="39"/>
      <c r="N1" s="85"/>
      <c r="AF1" s="76" t="s">
        <v>105</v>
      </c>
    </row>
    <row r="2" spans="1:32" ht="15" customHeight="1" x14ac:dyDescent="0.35">
      <c r="A2" s="325" t="s">
        <v>258</v>
      </c>
      <c r="B2" s="325"/>
      <c r="C2" s="325"/>
      <c r="D2" s="325"/>
      <c r="E2" s="325"/>
      <c r="F2" s="325"/>
    </row>
    <row r="3" spans="1:32" ht="18" x14ac:dyDescent="0.35">
      <c r="A3" s="70" t="s">
        <v>126</v>
      </c>
      <c r="B3" s="87"/>
      <c r="C3" s="87"/>
      <c r="D3" s="87"/>
      <c r="E3" s="87"/>
      <c r="F3" s="87"/>
      <c r="G3" s="87"/>
      <c r="H3" s="87"/>
      <c r="I3" s="88"/>
    </row>
    <row r="4" spans="1:32" ht="18.75" customHeight="1" thickBot="1" x14ac:dyDescent="0.4"/>
    <row r="5" spans="1:32" ht="49.5" customHeight="1" thickBot="1" x14ac:dyDescent="0.4">
      <c r="A5" s="328" t="s">
        <v>299</v>
      </c>
      <c r="B5" s="329"/>
      <c r="C5" s="329"/>
      <c r="D5" s="329"/>
      <c r="E5" s="329"/>
      <c r="F5" s="329"/>
      <c r="G5" s="329"/>
      <c r="H5" s="330"/>
      <c r="I5" s="334" t="s">
        <v>253</v>
      </c>
      <c r="J5" s="89" t="s">
        <v>198</v>
      </c>
      <c r="K5" s="89"/>
      <c r="L5" s="82">
        <f>SUM(L9:L87)</f>
        <v>210000</v>
      </c>
    </row>
    <row r="6" spans="1:32" ht="49.5" customHeight="1" thickBot="1" x14ac:dyDescent="0.4">
      <c r="A6" s="331"/>
      <c r="B6" s="332"/>
      <c r="C6" s="332"/>
      <c r="D6" s="332"/>
      <c r="E6" s="332"/>
      <c r="F6" s="332"/>
      <c r="G6" s="332"/>
      <c r="H6" s="333"/>
      <c r="I6" s="335"/>
      <c r="J6" s="326" t="s">
        <v>250</v>
      </c>
      <c r="K6" s="327"/>
      <c r="L6" s="82">
        <f>SUM(BdD!Y4,BdD!AB4,BdD!AC4,BdD!AD4)</f>
        <v>110000</v>
      </c>
    </row>
    <row r="8" spans="1:32" ht="50" x14ac:dyDescent="0.35">
      <c r="A8" s="90" t="s">
        <v>11</v>
      </c>
      <c r="B8" s="90" t="s">
        <v>10</v>
      </c>
      <c r="C8" s="90" t="s">
        <v>110</v>
      </c>
      <c r="D8" s="91" t="s">
        <v>131</v>
      </c>
      <c r="E8" s="90" t="s">
        <v>7</v>
      </c>
      <c r="F8" s="90" t="s">
        <v>63</v>
      </c>
      <c r="G8" s="90" t="s">
        <v>122</v>
      </c>
      <c r="H8" s="90" t="s">
        <v>123</v>
      </c>
      <c r="I8" s="90" t="s">
        <v>124</v>
      </c>
      <c r="J8" s="90" t="s">
        <v>129</v>
      </c>
      <c r="K8" s="90" t="s">
        <v>128</v>
      </c>
      <c r="L8" s="92" t="s">
        <v>125</v>
      </c>
      <c r="M8" s="90" t="s">
        <v>48</v>
      </c>
      <c r="N8" s="85"/>
    </row>
    <row r="9" spans="1:32" ht="23.25" customHeight="1" x14ac:dyDescent="0.35">
      <c r="A9" s="35" t="s">
        <v>220</v>
      </c>
      <c r="B9" s="35">
        <v>1</v>
      </c>
      <c r="C9" s="35">
        <v>1</v>
      </c>
      <c r="D9" s="83" t="str">
        <f>CONCATENATE(CONCATENATE(A9,B9,C9),F9,G9,H9)</f>
        <v>LOT 111Partenaire 1SEM01Coûts de sous-traitance</v>
      </c>
      <c r="E9" s="84" t="str">
        <f>IFERROR(VLOOKUP(CONCATENATE(A9,B9,C9),'Structure projet '!D:E,2,FALSE),"")</f>
        <v>Tache de RI</v>
      </c>
      <c r="F9" s="35" t="s">
        <v>218</v>
      </c>
      <c r="G9" s="35" t="s">
        <v>130</v>
      </c>
      <c r="H9" s="59" t="s">
        <v>26</v>
      </c>
      <c r="I9" s="59"/>
      <c r="J9" s="38"/>
      <c r="K9" s="35" t="s">
        <v>274</v>
      </c>
      <c r="L9" s="43">
        <v>10000</v>
      </c>
      <c r="M9" s="39"/>
      <c r="N9" s="85"/>
      <c r="AF9" s="76" t="s">
        <v>105</v>
      </c>
    </row>
    <row r="10" spans="1:32" ht="23.25" customHeight="1" x14ac:dyDescent="0.35">
      <c r="A10" s="35" t="s">
        <v>222</v>
      </c>
      <c r="B10" s="35">
        <v>1</v>
      </c>
      <c r="C10" s="35">
        <v>1</v>
      </c>
      <c r="D10" s="83" t="str">
        <f>CONCATENATE(CONCATENATE(A10,B10,C10),F10,G10,H10)</f>
        <v>LOT 211Partenaire 1SEM01Equipement productif</v>
      </c>
      <c r="E10" s="84" t="str">
        <f>IFERROR(VLOOKUP(CONCATENATE(A10,B10,C10),'Structure projet '!D:E,2,FALSE),"")</f>
        <v>Tache de RD</v>
      </c>
      <c r="F10" s="35" t="s">
        <v>218</v>
      </c>
      <c r="G10" s="35" t="s">
        <v>130</v>
      </c>
      <c r="H10" s="59" t="s">
        <v>294</v>
      </c>
      <c r="I10" s="37"/>
      <c r="J10" s="38"/>
      <c r="K10" s="35" t="s">
        <v>269</v>
      </c>
      <c r="L10" s="43">
        <v>100000</v>
      </c>
      <c r="M10" s="39"/>
      <c r="N10" s="85"/>
      <c r="AF10" s="76" t="s">
        <v>105</v>
      </c>
    </row>
    <row r="11" spans="1:32" ht="23.25" customHeight="1" x14ac:dyDescent="0.35">
      <c r="A11" s="35" t="s">
        <v>271</v>
      </c>
      <c r="B11" s="35">
        <v>1</v>
      </c>
      <c r="C11" s="35">
        <v>1</v>
      </c>
      <c r="D11" s="83" t="str">
        <f t="shared" ref="D11:D20" si="1">CONCATENATE(CONCATENATE(A11,B11,C11),F11,G11,H11)</f>
        <v>LOT 311Partenaire 1SEM02Autres coûts</v>
      </c>
      <c r="E11" s="84" t="str">
        <f>IFERROR(VLOOKUP(CONCATENATE(A11,B11,C11),'Structure projet '!D:E,2,FALSE),"")</f>
        <v>Tache de PE</v>
      </c>
      <c r="F11" s="35" t="s">
        <v>218</v>
      </c>
      <c r="G11" s="35" t="s">
        <v>197</v>
      </c>
      <c r="H11" s="280" t="s">
        <v>19</v>
      </c>
      <c r="I11" s="37"/>
      <c r="J11" s="38"/>
      <c r="K11" s="35" t="s">
        <v>302</v>
      </c>
      <c r="L11" s="43">
        <v>100000</v>
      </c>
      <c r="M11" s="39"/>
      <c r="N11" s="85"/>
      <c r="AF11" s="76" t="s">
        <v>105</v>
      </c>
    </row>
    <row r="12" spans="1:32" ht="23.25" customHeight="1" x14ac:dyDescent="0.35">
      <c r="A12" s="35"/>
      <c r="B12" s="35"/>
      <c r="C12" s="35"/>
      <c r="D12" s="83" t="str">
        <f t="shared" si="1"/>
        <v/>
      </c>
      <c r="E12" s="84">
        <f>IFERROR(VLOOKUP(CONCATENATE(A12,B12,C12),'Structure projet '!D:E,2,FALSE),"")</f>
        <v>0</v>
      </c>
      <c r="F12" s="35"/>
      <c r="G12" s="35"/>
      <c r="H12" s="269"/>
      <c r="I12" s="37"/>
      <c r="J12" s="38"/>
      <c r="K12" s="35"/>
      <c r="L12" s="43"/>
      <c r="M12" s="39"/>
      <c r="N12" s="85"/>
      <c r="AF12" s="76" t="s">
        <v>105</v>
      </c>
    </row>
    <row r="13" spans="1:32" ht="23.25" customHeight="1" x14ac:dyDescent="0.35">
      <c r="A13" s="35"/>
      <c r="B13" s="35"/>
      <c r="C13" s="35"/>
      <c r="D13" s="83" t="str">
        <f t="shared" si="1"/>
        <v/>
      </c>
      <c r="E13" s="84">
        <f>IFERROR(VLOOKUP(CONCATENATE(A13,B13,C13),'Structure projet '!D:E,2,FALSE),"")</f>
        <v>0</v>
      </c>
      <c r="F13" s="35"/>
      <c r="G13" s="35"/>
      <c r="H13" s="269"/>
      <c r="I13" s="37"/>
      <c r="J13" s="38"/>
      <c r="K13" s="35"/>
      <c r="L13" s="43"/>
      <c r="M13" s="39"/>
      <c r="N13" s="85"/>
      <c r="AF13" s="76" t="s">
        <v>105</v>
      </c>
    </row>
    <row r="14" spans="1:32" ht="23.25" customHeight="1" x14ac:dyDescent="0.35">
      <c r="A14" s="35"/>
      <c r="B14" s="35"/>
      <c r="C14" s="35"/>
      <c r="D14" s="83" t="str">
        <f t="shared" si="1"/>
        <v/>
      </c>
      <c r="E14" s="84">
        <f>IFERROR(VLOOKUP(CONCATENATE(A14,B14,C14),'Structure projet '!D:E,2,FALSE),"")</f>
        <v>0</v>
      </c>
      <c r="F14" s="35"/>
      <c r="G14" s="35"/>
      <c r="H14" s="269"/>
      <c r="I14" s="37"/>
      <c r="J14" s="38"/>
      <c r="K14" s="35"/>
      <c r="L14" s="43"/>
      <c r="M14" s="39"/>
      <c r="N14" s="85"/>
      <c r="AF14" s="76" t="s">
        <v>105</v>
      </c>
    </row>
    <row r="15" spans="1:32" ht="23.25" customHeight="1" x14ac:dyDescent="0.35">
      <c r="A15" s="35"/>
      <c r="B15" s="35"/>
      <c r="C15" s="35"/>
      <c r="D15" s="83" t="str">
        <f t="shared" si="1"/>
        <v/>
      </c>
      <c r="E15" s="84">
        <f>IFERROR(VLOOKUP(CONCATENATE(A15,B15,C15),'Structure projet '!D:E,2,FALSE),"")</f>
        <v>0</v>
      </c>
      <c r="F15" s="35"/>
      <c r="G15" s="35"/>
      <c r="H15" s="269"/>
      <c r="I15" s="37"/>
      <c r="J15" s="38"/>
      <c r="K15" s="35"/>
      <c r="L15" s="43"/>
      <c r="M15" s="39"/>
      <c r="N15" s="85"/>
      <c r="AF15" s="76" t="s">
        <v>105</v>
      </c>
    </row>
    <row r="16" spans="1:32" ht="23.25" customHeight="1" x14ac:dyDescent="0.35">
      <c r="A16" s="35"/>
      <c r="B16" s="35"/>
      <c r="C16" s="35"/>
      <c r="D16" s="83" t="str">
        <f t="shared" ref="D16" si="2">CONCATENATE(CONCATENATE(A16,B16,C16),F16,G16,H16)</f>
        <v/>
      </c>
      <c r="E16" s="84">
        <f>IFERROR(VLOOKUP(CONCATENATE(A16,B16,C16),'Structure projet '!D:E,2,FALSE),"")</f>
        <v>0</v>
      </c>
      <c r="F16" s="35"/>
      <c r="G16" s="35"/>
      <c r="H16" s="269"/>
      <c r="I16" s="37"/>
      <c r="J16" s="38"/>
      <c r="K16" s="35"/>
      <c r="L16" s="43"/>
      <c r="M16" s="39"/>
      <c r="N16" s="85"/>
      <c r="AF16" s="76" t="s">
        <v>105</v>
      </c>
    </row>
    <row r="17" spans="1:32" ht="23.25" customHeight="1" x14ac:dyDescent="0.35">
      <c r="A17" s="35"/>
      <c r="B17" s="35"/>
      <c r="C17" s="35"/>
      <c r="D17" s="83" t="str">
        <f t="shared" si="1"/>
        <v/>
      </c>
      <c r="E17" s="84">
        <f>IFERROR(VLOOKUP(CONCATENATE(A17,B17,C17),'Structure projet '!D:E,2,FALSE),"")</f>
        <v>0</v>
      </c>
      <c r="F17" s="35"/>
      <c r="G17" s="35"/>
      <c r="H17" s="269"/>
      <c r="I17" s="37"/>
      <c r="J17" s="38"/>
      <c r="K17" s="35"/>
      <c r="L17" s="43"/>
      <c r="M17" s="39"/>
      <c r="N17" s="85"/>
      <c r="AF17" s="76" t="s">
        <v>105</v>
      </c>
    </row>
    <row r="18" spans="1:32" ht="23.25" customHeight="1" x14ac:dyDescent="0.35">
      <c r="A18" s="35"/>
      <c r="B18" s="35"/>
      <c r="C18" s="35"/>
      <c r="D18" s="83" t="str">
        <f t="shared" si="1"/>
        <v/>
      </c>
      <c r="E18" s="84">
        <f>IFERROR(VLOOKUP(CONCATENATE(A18,B18,C18),'Structure projet '!D:E,2,FALSE),"")</f>
        <v>0</v>
      </c>
      <c r="F18" s="35"/>
      <c r="G18" s="35"/>
      <c r="H18" s="269"/>
      <c r="I18" s="37"/>
      <c r="J18" s="38"/>
      <c r="K18" s="35"/>
      <c r="L18" s="43"/>
      <c r="M18" s="39"/>
      <c r="N18" s="85"/>
      <c r="AF18" s="76" t="s">
        <v>105</v>
      </c>
    </row>
    <row r="19" spans="1:32" ht="23.25" customHeight="1" x14ac:dyDescent="0.35">
      <c r="A19" s="35"/>
      <c r="B19" s="35"/>
      <c r="C19" s="35"/>
      <c r="D19" s="83" t="str">
        <f t="shared" si="1"/>
        <v/>
      </c>
      <c r="E19" s="84">
        <f>IFERROR(VLOOKUP(CONCATENATE(A19,B19,C19),'Structure projet '!D:E,2,FALSE),"")</f>
        <v>0</v>
      </c>
      <c r="F19" s="35"/>
      <c r="G19" s="35"/>
      <c r="H19" s="269"/>
      <c r="I19" s="37"/>
      <c r="J19" s="38"/>
      <c r="K19" s="35"/>
      <c r="L19" s="43"/>
      <c r="M19" s="39"/>
      <c r="N19" s="85"/>
      <c r="AF19" s="76" t="s">
        <v>105</v>
      </c>
    </row>
    <row r="20" spans="1:32" ht="23.25" customHeight="1" x14ac:dyDescent="0.35">
      <c r="A20" s="35"/>
      <c r="B20" s="35"/>
      <c r="C20" s="35"/>
      <c r="D20" s="83" t="str">
        <f t="shared" si="1"/>
        <v/>
      </c>
      <c r="E20" s="84">
        <f>IFERROR(VLOOKUP(CONCATENATE(A20,B20,C20),'Structure projet '!D:E,2,FALSE),"")</f>
        <v>0</v>
      </c>
      <c r="F20" s="35"/>
      <c r="G20" s="35"/>
      <c r="H20" s="269"/>
      <c r="I20" s="37"/>
      <c r="J20" s="38"/>
      <c r="K20" s="35"/>
      <c r="L20" s="43"/>
      <c r="M20" s="39"/>
      <c r="N20" s="85"/>
      <c r="AF20" s="76" t="s">
        <v>105</v>
      </c>
    </row>
    <row r="21" spans="1:32" ht="23.25" customHeight="1" x14ac:dyDescent="0.35">
      <c r="A21" s="35"/>
      <c r="B21" s="35"/>
      <c r="C21" s="35"/>
      <c r="D21" s="83" t="str">
        <f t="shared" ref="D21:D48" si="3">CONCATENATE(CONCATENATE(A21,B21,C21),F21,G21,H21)</f>
        <v/>
      </c>
      <c r="E21" s="84">
        <f>IFERROR(VLOOKUP(CONCATENATE(A21,B21,C21),'Structure projet '!D:E,2,FALSE),"")</f>
        <v>0</v>
      </c>
      <c r="F21" s="35"/>
      <c r="G21" s="35"/>
      <c r="H21" s="269"/>
      <c r="I21" s="37"/>
      <c r="J21" s="38"/>
      <c r="K21" s="35"/>
      <c r="L21" s="43"/>
      <c r="M21" s="39"/>
      <c r="N21" s="85"/>
      <c r="AF21" s="76" t="s">
        <v>105</v>
      </c>
    </row>
    <row r="22" spans="1:32" ht="23.25" customHeight="1" x14ac:dyDescent="0.35">
      <c r="A22" s="35"/>
      <c r="B22" s="35"/>
      <c r="C22" s="35"/>
      <c r="D22" s="83" t="str">
        <f t="shared" si="3"/>
        <v/>
      </c>
      <c r="E22" s="84">
        <f>IFERROR(VLOOKUP(CONCATENATE(A22,B22,C22),'Structure projet '!D:E,2,FALSE),"")</f>
        <v>0</v>
      </c>
      <c r="F22" s="35"/>
      <c r="G22" s="35"/>
      <c r="H22" s="269"/>
      <c r="I22" s="37"/>
      <c r="J22" s="38"/>
      <c r="K22" s="35"/>
      <c r="L22" s="43"/>
      <c r="M22" s="39"/>
      <c r="N22" s="85"/>
      <c r="AF22" s="76" t="s">
        <v>105</v>
      </c>
    </row>
    <row r="23" spans="1:32" ht="23.25" customHeight="1" x14ac:dyDescent="0.35">
      <c r="A23" s="35"/>
      <c r="B23" s="35"/>
      <c r="C23" s="35"/>
      <c r="D23" s="83" t="str">
        <f t="shared" si="3"/>
        <v/>
      </c>
      <c r="E23" s="84">
        <f>IFERROR(VLOOKUP(CONCATENATE(A23,B23,C23),'Structure projet '!D:E,2,FALSE),"")</f>
        <v>0</v>
      </c>
      <c r="F23" s="35"/>
      <c r="G23" s="35"/>
      <c r="H23" s="269"/>
      <c r="I23" s="37"/>
      <c r="J23" s="38"/>
      <c r="K23" s="35"/>
      <c r="L23" s="43"/>
      <c r="M23" s="39"/>
      <c r="N23" s="85"/>
      <c r="AF23" s="76" t="s">
        <v>105</v>
      </c>
    </row>
    <row r="24" spans="1:32" ht="23.25" customHeight="1" x14ac:dyDescent="0.35">
      <c r="A24" s="35"/>
      <c r="B24" s="35"/>
      <c r="C24" s="35"/>
      <c r="D24" s="83" t="str">
        <f t="shared" si="3"/>
        <v/>
      </c>
      <c r="E24" s="84">
        <f>IFERROR(VLOOKUP(CONCATENATE(A24,B24,C24),'Structure projet '!D:E,2,FALSE),"")</f>
        <v>0</v>
      </c>
      <c r="F24" s="35"/>
      <c r="G24" s="35"/>
      <c r="H24" s="269"/>
      <c r="I24" s="37"/>
      <c r="J24" s="38"/>
      <c r="K24" s="35"/>
      <c r="L24" s="43"/>
      <c r="M24" s="39"/>
      <c r="N24" s="85"/>
      <c r="AF24" s="76" t="s">
        <v>105</v>
      </c>
    </row>
    <row r="25" spans="1:32" ht="23.25" customHeight="1" x14ac:dyDescent="0.35">
      <c r="A25" s="35"/>
      <c r="B25" s="35"/>
      <c r="C25" s="35"/>
      <c r="D25" s="83" t="str">
        <f t="shared" si="3"/>
        <v/>
      </c>
      <c r="E25" s="84">
        <f>IFERROR(VLOOKUP(CONCATENATE(A25,B25,C25),'Structure projet '!D:E,2,FALSE),"")</f>
        <v>0</v>
      </c>
      <c r="F25" s="35"/>
      <c r="G25" s="35"/>
      <c r="H25" s="269"/>
      <c r="I25" s="37"/>
      <c r="J25" s="38"/>
      <c r="K25" s="35"/>
      <c r="L25" s="43"/>
      <c r="M25" s="39"/>
      <c r="N25" s="85"/>
      <c r="AF25" s="76" t="s">
        <v>105</v>
      </c>
    </row>
    <row r="26" spans="1:32" ht="23.25" customHeight="1" x14ac:dyDescent="0.35">
      <c r="A26" s="35"/>
      <c r="B26" s="35"/>
      <c r="C26" s="35"/>
      <c r="D26" s="83" t="str">
        <f t="shared" si="3"/>
        <v/>
      </c>
      <c r="E26" s="84">
        <f>IFERROR(VLOOKUP(CONCATENATE(A26,B26,C26),'Structure projet '!D:E,2,FALSE),"")</f>
        <v>0</v>
      </c>
      <c r="F26" s="35"/>
      <c r="G26" s="35"/>
      <c r="H26" s="269"/>
      <c r="I26" s="37"/>
      <c r="J26" s="38"/>
      <c r="K26" s="35"/>
      <c r="L26" s="43"/>
      <c r="M26" s="39"/>
      <c r="N26" s="85"/>
      <c r="AF26" s="76" t="s">
        <v>105</v>
      </c>
    </row>
    <row r="27" spans="1:32" ht="23.25" customHeight="1" x14ac:dyDescent="0.35">
      <c r="A27" s="35"/>
      <c r="B27" s="35"/>
      <c r="C27" s="35"/>
      <c r="D27" s="83" t="str">
        <f t="shared" si="3"/>
        <v/>
      </c>
      <c r="E27" s="84">
        <f>IFERROR(VLOOKUP(CONCATENATE(A27,B27,C27),'Structure projet '!D:E,2,FALSE),"")</f>
        <v>0</v>
      </c>
      <c r="F27" s="35"/>
      <c r="G27" s="35"/>
      <c r="H27" s="269"/>
      <c r="I27" s="37"/>
      <c r="J27" s="38"/>
      <c r="K27" s="35"/>
      <c r="L27" s="43"/>
      <c r="M27" s="39"/>
      <c r="N27" s="85"/>
      <c r="AF27" s="76" t="s">
        <v>105</v>
      </c>
    </row>
    <row r="28" spans="1:32" ht="23.25" customHeight="1" x14ac:dyDescent="0.35">
      <c r="A28" s="35"/>
      <c r="B28" s="35"/>
      <c r="C28" s="35"/>
      <c r="D28" s="83" t="str">
        <f t="shared" si="3"/>
        <v/>
      </c>
      <c r="E28" s="84">
        <f>IFERROR(VLOOKUP(CONCATENATE(A28,B28,C28),'Structure projet '!D:E,2,FALSE),"")</f>
        <v>0</v>
      </c>
      <c r="F28" s="35"/>
      <c r="G28" s="35"/>
      <c r="H28" s="269"/>
      <c r="I28" s="37"/>
      <c r="J28" s="38"/>
      <c r="K28" s="35"/>
      <c r="L28" s="43"/>
      <c r="M28" s="39"/>
      <c r="N28" s="85"/>
      <c r="AF28" s="76" t="s">
        <v>105</v>
      </c>
    </row>
    <row r="29" spans="1:32" ht="23.25" customHeight="1" x14ac:dyDescent="0.35">
      <c r="A29" s="35"/>
      <c r="B29" s="35"/>
      <c r="C29" s="35"/>
      <c r="D29" s="83" t="str">
        <f t="shared" si="3"/>
        <v/>
      </c>
      <c r="E29" s="84">
        <f>IFERROR(VLOOKUP(CONCATENATE(A29,B29,C29),'Structure projet '!D:E,2,FALSE),"")</f>
        <v>0</v>
      </c>
      <c r="F29" s="35"/>
      <c r="G29" s="35"/>
      <c r="H29" s="269"/>
      <c r="I29" s="37"/>
      <c r="J29" s="38"/>
      <c r="K29" s="35"/>
      <c r="L29" s="43"/>
      <c r="M29" s="39"/>
      <c r="N29" s="85"/>
      <c r="AF29" s="76" t="s">
        <v>105</v>
      </c>
    </row>
    <row r="30" spans="1:32" ht="23.25" customHeight="1" x14ac:dyDescent="0.35">
      <c r="A30" s="35"/>
      <c r="B30" s="35"/>
      <c r="C30" s="35"/>
      <c r="D30" s="83" t="str">
        <f t="shared" si="3"/>
        <v/>
      </c>
      <c r="E30" s="84">
        <f>IFERROR(VLOOKUP(CONCATENATE(A30,B30,C30),'Structure projet '!D:E,2,FALSE),"")</f>
        <v>0</v>
      </c>
      <c r="F30" s="35"/>
      <c r="G30" s="35"/>
      <c r="H30" s="269"/>
      <c r="I30" s="37"/>
      <c r="J30" s="38"/>
      <c r="K30" s="35"/>
      <c r="L30" s="43"/>
      <c r="M30" s="39"/>
      <c r="N30" s="85"/>
      <c r="AF30" s="76" t="s">
        <v>105</v>
      </c>
    </row>
    <row r="31" spans="1:32" ht="23.25" customHeight="1" x14ac:dyDescent="0.35">
      <c r="A31" s="35"/>
      <c r="B31" s="35"/>
      <c r="C31" s="35"/>
      <c r="D31" s="83" t="str">
        <f t="shared" si="3"/>
        <v/>
      </c>
      <c r="E31" s="84">
        <f>IFERROR(VLOOKUP(CONCATENATE(A31,B31,C31),'Structure projet '!D:E,2,FALSE),"")</f>
        <v>0</v>
      </c>
      <c r="F31" s="35"/>
      <c r="G31" s="35"/>
      <c r="H31" s="269"/>
      <c r="I31" s="37"/>
      <c r="J31" s="38"/>
      <c r="K31" s="35"/>
      <c r="L31" s="43"/>
      <c r="M31" s="39"/>
      <c r="N31" s="85"/>
      <c r="AF31" s="76" t="s">
        <v>105</v>
      </c>
    </row>
    <row r="32" spans="1:32" ht="23.25" customHeight="1" x14ac:dyDescent="0.35">
      <c r="A32" s="35"/>
      <c r="B32" s="35"/>
      <c r="C32" s="35"/>
      <c r="D32" s="83" t="str">
        <f t="shared" si="3"/>
        <v/>
      </c>
      <c r="E32" s="84">
        <f>IFERROR(VLOOKUP(CONCATENATE(A32,B32,C32),'Structure projet '!D:E,2,FALSE),"")</f>
        <v>0</v>
      </c>
      <c r="F32" s="35"/>
      <c r="G32" s="35"/>
      <c r="H32" s="269"/>
      <c r="I32" s="37"/>
      <c r="J32" s="38"/>
      <c r="K32" s="35"/>
      <c r="L32" s="43"/>
      <c r="M32" s="39"/>
      <c r="N32" s="85"/>
      <c r="AF32" s="76" t="s">
        <v>105</v>
      </c>
    </row>
    <row r="33" spans="1:32" ht="23.25" customHeight="1" x14ac:dyDescent="0.35">
      <c r="A33" s="35"/>
      <c r="B33" s="35"/>
      <c r="C33" s="35"/>
      <c r="D33" s="83" t="str">
        <f t="shared" si="3"/>
        <v/>
      </c>
      <c r="E33" s="84">
        <f>IFERROR(VLOOKUP(CONCATENATE(A33,B33,C33),'Structure projet '!D:E,2,FALSE),"")</f>
        <v>0</v>
      </c>
      <c r="F33" s="35"/>
      <c r="G33" s="35"/>
      <c r="H33" s="269"/>
      <c r="I33" s="37"/>
      <c r="J33" s="38"/>
      <c r="K33" s="35"/>
      <c r="L33" s="43"/>
      <c r="M33" s="39"/>
      <c r="N33" s="85"/>
      <c r="AF33" s="76" t="s">
        <v>105</v>
      </c>
    </row>
    <row r="34" spans="1:32" ht="23.25" customHeight="1" x14ac:dyDescent="0.35">
      <c r="A34" s="35"/>
      <c r="B34" s="35"/>
      <c r="C34" s="35"/>
      <c r="D34" s="83" t="str">
        <f t="shared" si="3"/>
        <v/>
      </c>
      <c r="E34" s="84">
        <f>IFERROR(VLOOKUP(CONCATENATE(A34,B34,C34),'Structure projet '!D:E,2,FALSE),"")</f>
        <v>0</v>
      </c>
      <c r="F34" s="35"/>
      <c r="G34" s="35"/>
      <c r="H34" s="269"/>
      <c r="I34" s="37"/>
      <c r="J34" s="38"/>
      <c r="K34" s="35"/>
      <c r="L34" s="43"/>
      <c r="M34" s="39"/>
      <c r="N34" s="85"/>
      <c r="AF34" s="76" t="s">
        <v>105</v>
      </c>
    </row>
    <row r="35" spans="1:32" ht="23.25" customHeight="1" x14ac:dyDescent="0.35">
      <c r="A35" s="35"/>
      <c r="B35" s="35"/>
      <c r="C35" s="35"/>
      <c r="D35" s="83" t="str">
        <f t="shared" si="3"/>
        <v/>
      </c>
      <c r="E35" s="84">
        <f>IFERROR(VLOOKUP(CONCATENATE(A35,B35,C35),'Structure projet '!D:E,2,FALSE),"")</f>
        <v>0</v>
      </c>
      <c r="F35" s="35"/>
      <c r="G35" s="35"/>
      <c r="H35" s="269"/>
      <c r="I35" s="37"/>
      <c r="J35" s="38"/>
      <c r="K35" s="35"/>
      <c r="L35" s="43"/>
      <c r="M35" s="39"/>
      <c r="N35" s="85"/>
      <c r="AF35" s="76" t="s">
        <v>105</v>
      </c>
    </row>
    <row r="36" spans="1:32" ht="23.25" customHeight="1" x14ac:dyDescent="0.35">
      <c r="A36" s="35"/>
      <c r="B36" s="35"/>
      <c r="C36" s="35"/>
      <c r="D36" s="83" t="str">
        <f t="shared" si="3"/>
        <v/>
      </c>
      <c r="E36" s="84">
        <f>IFERROR(VLOOKUP(CONCATENATE(A36,B36,C36),'Structure projet '!D:E,2,FALSE),"")</f>
        <v>0</v>
      </c>
      <c r="F36" s="35"/>
      <c r="G36" s="35"/>
      <c r="H36" s="269"/>
      <c r="I36" s="37"/>
      <c r="J36" s="38"/>
      <c r="K36" s="35"/>
      <c r="L36" s="43"/>
      <c r="M36" s="39"/>
      <c r="N36" s="85"/>
      <c r="AF36" s="76" t="s">
        <v>105</v>
      </c>
    </row>
    <row r="37" spans="1:32" ht="23.25" customHeight="1" x14ac:dyDescent="0.35">
      <c r="A37" s="35"/>
      <c r="B37" s="35"/>
      <c r="C37" s="35"/>
      <c r="D37" s="83" t="str">
        <f t="shared" si="3"/>
        <v/>
      </c>
      <c r="E37" s="84">
        <f>IFERROR(VLOOKUP(CONCATENATE(A37,B37,C37),'Structure projet '!D:E,2,FALSE),"")</f>
        <v>0</v>
      </c>
      <c r="F37" s="35"/>
      <c r="G37" s="35"/>
      <c r="H37" s="269"/>
      <c r="I37" s="37"/>
      <c r="J37" s="38"/>
      <c r="K37" s="35"/>
      <c r="L37" s="43"/>
      <c r="M37" s="39"/>
      <c r="N37" s="85"/>
      <c r="AF37" s="76" t="s">
        <v>105</v>
      </c>
    </row>
    <row r="38" spans="1:32" ht="23.25" customHeight="1" x14ac:dyDescent="0.35">
      <c r="A38" s="35"/>
      <c r="B38" s="35"/>
      <c r="C38" s="35"/>
      <c r="D38" s="83" t="str">
        <f t="shared" si="3"/>
        <v/>
      </c>
      <c r="E38" s="84">
        <f>IFERROR(VLOOKUP(CONCATENATE(A38,B38,C38),'Structure projet '!D:E,2,FALSE),"")</f>
        <v>0</v>
      </c>
      <c r="F38" s="35"/>
      <c r="G38" s="35"/>
      <c r="H38" s="269"/>
      <c r="I38" s="37"/>
      <c r="J38" s="38"/>
      <c r="K38" s="35"/>
      <c r="L38" s="43"/>
      <c r="M38" s="39"/>
      <c r="N38" s="85"/>
      <c r="AF38" s="76" t="s">
        <v>105</v>
      </c>
    </row>
    <row r="39" spans="1:32" ht="23.25" customHeight="1" x14ac:dyDescent="0.35">
      <c r="A39" s="35"/>
      <c r="B39" s="35"/>
      <c r="C39" s="35"/>
      <c r="D39" s="83" t="str">
        <f t="shared" si="3"/>
        <v/>
      </c>
      <c r="E39" s="84">
        <f>IFERROR(VLOOKUP(CONCATENATE(A39,B39,C39),'Structure projet '!D:E,2,FALSE),"")</f>
        <v>0</v>
      </c>
      <c r="F39" s="35"/>
      <c r="G39" s="35"/>
      <c r="H39" s="269"/>
      <c r="I39" s="37"/>
      <c r="J39" s="38"/>
      <c r="K39" s="35"/>
      <c r="L39" s="43"/>
      <c r="M39" s="39"/>
      <c r="N39" s="85"/>
      <c r="AF39" s="76" t="s">
        <v>105</v>
      </c>
    </row>
    <row r="40" spans="1:32" ht="23.25" customHeight="1" x14ac:dyDescent="0.35">
      <c r="A40" s="35"/>
      <c r="B40" s="35"/>
      <c r="C40" s="35"/>
      <c r="D40" s="83" t="str">
        <f t="shared" si="3"/>
        <v/>
      </c>
      <c r="E40" s="84">
        <f>IFERROR(VLOOKUP(CONCATENATE(A40,B40,C40),'Structure projet '!D:E,2,FALSE),"")</f>
        <v>0</v>
      </c>
      <c r="F40" s="35"/>
      <c r="G40" s="35"/>
      <c r="H40" s="269"/>
      <c r="I40" s="37"/>
      <c r="J40" s="38"/>
      <c r="K40" s="35"/>
      <c r="L40" s="43"/>
      <c r="M40" s="39"/>
      <c r="N40" s="85"/>
      <c r="AF40" s="76" t="s">
        <v>105</v>
      </c>
    </row>
    <row r="41" spans="1:32" ht="23.25" customHeight="1" x14ac:dyDescent="0.35">
      <c r="A41" s="35"/>
      <c r="B41" s="35"/>
      <c r="C41" s="35"/>
      <c r="D41" s="83" t="str">
        <f t="shared" si="3"/>
        <v/>
      </c>
      <c r="E41" s="84">
        <f>IFERROR(VLOOKUP(CONCATENATE(A41,B41,C41),'Structure projet '!D:E,2,FALSE),"")</f>
        <v>0</v>
      </c>
      <c r="F41" s="35"/>
      <c r="G41" s="35"/>
      <c r="H41" s="269"/>
      <c r="I41" s="37"/>
      <c r="J41" s="38"/>
      <c r="K41" s="35"/>
      <c r="L41" s="43"/>
      <c r="M41" s="39"/>
      <c r="N41" s="85"/>
      <c r="AF41" s="76" t="s">
        <v>105</v>
      </c>
    </row>
    <row r="42" spans="1:32" ht="23.25" customHeight="1" x14ac:dyDescent="0.35">
      <c r="A42" s="35"/>
      <c r="B42" s="35"/>
      <c r="C42" s="35"/>
      <c r="D42" s="83" t="str">
        <f t="shared" si="3"/>
        <v/>
      </c>
      <c r="E42" s="84">
        <f>IFERROR(VLOOKUP(CONCATENATE(A42,B42,C42),'Structure projet '!D:E,2,FALSE),"")</f>
        <v>0</v>
      </c>
      <c r="F42" s="35"/>
      <c r="G42" s="35"/>
      <c r="H42" s="269"/>
      <c r="I42" s="37"/>
      <c r="J42" s="38"/>
      <c r="K42" s="35"/>
      <c r="L42" s="43"/>
      <c r="M42" s="39"/>
      <c r="N42" s="85"/>
      <c r="AF42" s="76" t="s">
        <v>105</v>
      </c>
    </row>
    <row r="43" spans="1:32" ht="23.25" customHeight="1" x14ac:dyDescent="0.35">
      <c r="A43" s="35"/>
      <c r="B43" s="35"/>
      <c r="C43" s="35"/>
      <c r="D43" s="83" t="str">
        <f t="shared" si="3"/>
        <v/>
      </c>
      <c r="E43" s="84">
        <f>IFERROR(VLOOKUP(CONCATENATE(A43,B43,C43),'Structure projet '!D:E,2,FALSE),"")</f>
        <v>0</v>
      </c>
      <c r="F43" s="35"/>
      <c r="G43" s="35"/>
      <c r="H43" s="269"/>
      <c r="I43" s="37"/>
      <c r="J43" s="38"/>
      <c r="K43" s="35"/>
      <c r="L43" s="43"/>
      <c r="M43" s="39"/>
      <c r="N43" s="85"/>
      <c r="AF43" s="76" t="s">
        <v>105</v>
      </c>
    </row>
    <row r="44" spans="1:32" ht="23.25" customHeight="1" x14ac:dyDescent="0.35">
      <c r="A44" s="35"/>
      <c r="B44" s="35"/>
      <c r="C44" s="35"/>
      <c r="D44" s="83" t="str">
        <f t="shared" si="3"/>
        <v/>
      </c>
      <c r="E44" s="84">
        <f>IFERROR(VLOOKUP(CONCATENATE(A44,B44,C44),'Structure projet '!D:E,2,FALSE),"")</f>
        <v>0</v>
      </c>
      <c r="F44" s="35"/>
      <c r="G44" s="35"/>
      <c r="H44" s="269"/>
      <c r="I44" s="37"/>
      <c r="J44" s="38"/>
      <c r="K44" s="35"/>
      <c r="L44" s="43"/>
      <c r="M44" s="39"/>
      <c r="N44" s="85"/>
      <c r="AF44" s="76" t="s">
        <v>105</v>
      </c>
    </row>
    <row r="45" spans="1:32" ht="23.25" customHeight="1" x14ac:dyDescent="0.35">
      <c r="A45" s="35"/>
      <c r="B45" s="35"/>
      <c r="C45" s="35"/>
      <c r="D45" s="83" t="str">
        <f t="shared" si="3"/>
        <v/>
      </c>
      <c r="E45" s="84">
        <f>IFERROR(VLOOKUP(CONCATENATE(A45,B45,C45),'Structure projet '!D:E,2,FALSE),"")</f>
        <v>0</v>
      </c>
      <c r="F45" s="35"/>
      <c r="G45" s="35"/>
      <c r="H45" s="269"/>
      <c r="I45" s="37"/>
      <c r="J45" s="38"/>
      <c r="K45" s="35"/>
      <c r="L45" s="43"/>
      <c r="M45" s="39"/>
      <c r="N45" s="85"/>
      <c r="AF45" s="76" t="s">
        <v>105</v>
      </c>
    </row>
    <row r="46" spans="1:32" ht="23.25" customHeight="1" x14ac:dyDescent="0.35">
      <c r="A46" s="35"/>
      <c r="B46" s="35"/>
      <c r="C46" s="35"/>
      <c r="D46" s="83" t="str">
        <f t="shared" si="3"/>
        <v/>
      </c>
      <c r="E46" s="84">
        <f>IFERROR(VLOOKUP(CONCATENATE(A46,B46,C46),'Structure projet '!D:E,2,FALSE),"")</f>
        <v>0</v>
      </c>
      <c r="F46" s="35"/>
      <c r="G46" s="35"/>
      <c r="H46" s="269"/>
      <c r="I46" s="37"/>
      <c r="J46" s="38"/>
      <c r="K46" s="35"/>
      <c r="L46" s="43"/>
      <c r="M46" s="39"/>
      <c r="N46" s="85"/>
      <c r="AF46" s="76" t="s">
        <v>105</v>
      </c>
    </row>
    <row r="47" spans="1:32" ht="23.25" customHeight="1" x14ac:dyDescent="0.35">
      <c r="A47" s="35"/>
      <c r="B47" s="35"/>
      <c r="C47" s="35"/>
      <c r="D47" s="83" t="str">
        <f t="shared" si="3"/>
        <v/>
      </c>
      <c r="E47" s="84">
        <f>IFERROR(VLOOKUP(CONCATENATE(A47,B47,C47),'Structure projet '!D:E,2,FALSE),"")</f>
        <v>0</v>
      </c>
      <c r="F47" s="35"/>
      <c r="G47" s="35"/>
      <c r="H47" s="269"/>
      <c r="I47" s="37"/>
      <c r="J47" s="38"/>
      <c r="K47" s="35"/>
      <c r="L47" s="43"/>
      <c r="M47" s="39"/>
      <c r="N47" s="85"/>
      <c r="AF47" s="76" t="s">
        <v>105</v>
      </c>
    </row>
    <row r="48" spans="1:32" ht="23.25" customHeight="1" x14ac:dyDescent="0.35">
      <c r="A48" s="35"/>
      <c r="B48" s="35"/>
      <c r="C48" s="35"/>
      <c r="D48" s="83" t="str">
        <f t="shared" si="3"/>
        <v/>
      </c>
      <c r="E48" s="84">
        <f>IFERROR(VLOOKUP(CONCATENATE(A48,B48,C48),'Structure projet '!D:E,2,FALSE),"")</f>
        <v>0</v>
      </c>
      <c r="F48" s="35"/>
      <c r="G48" s="35"/>
      <c r="H48" s="269"/>
      <c r="I48" s="37"/>
      <c r="J48" s="38"/>
      <c r="K48" s="35"/>
      <c r="L48" s="43"/>
      <c r="M48" s="39"/>
      <c r="N48" s="85"/>
      <c r="AF48" s="76" t="s">
        <v>105</v>
      </c>
    </row>
  </sheetData>
  <sheetProtection formatCells="0" formatColumns="0" formatRows="0" insertColumns="0" insertRows="0" insertHyperlinks="0" deleteColumns="0" deleteRows="0" sort="0" autoFilter="0" pivotTables="0"/>
  <autoFilter ref="A8:M9" xr:uid="{00000000-0009-0000-0000-000005000000}"/>
  <mergeCells count="4">
    <mergeCell ref="J6:K6"/>
    <mergeCell ref="A2:F2"/>
    <mergeCell ref="A5:H6"/>
    <mergeCell ref="I5:I6"/>
  </mergeCells>
  <phoneticPr fontId="46" type="noConversion"/>
  <conditionalFormatting sqref="G11:G15 F13:F15 F17:F20 B10 G17:G48 K10:L48 F16:G16 B14:B17 F10:G10">
    <cfRule type="containsBlanks" dxfId="70" priority="68">
      <formula>LEN(TRIM(B10))=0</formula>
    </cfRule>
  </conditionalFormatting>
  <conditionalFormatting sqref="F21:F48">
    <cfRule type="containsBlanks" dxfId="69" priority="70">
      <formula>LEN(TRIM(F21))=0</formula>
    </cfRule>
  </conditionalFormatting>
  <conditionalFormatting sqref="A21:B48">
    <cfRule type="containsBlanks" dxfId="68" priority="71">
      <formula>LEN(TRIM(A21))=0</formula>
    </cfRule>
  </conditionalFormatting>
  <conditionalFormatting sqref="K9:L9">
    <cfRule type="containsBlanks" dxfId="67" priority="48">
      <formula>LEN(TRIM(K9))=0</formula>
    </cfRule>
  </conditionalFormatting>
  <conditionalFormatting sqref="F1">
    <cfRule type="containsBlanks" dxfId="66" priority="20">
      <formula>LEN(TRIM(F1))=0</formula>
    </cfRule>
  </conditionalFormatting>
  <conditionalFormatting sqref="K1:L1">
    <cfRule type="containsBlanks" dxfId="65" priority="18">
      <formula>LEN(TRIM(K1))=0</formula>
    </cfRule>
  </conditionalFormatting>
  <conditionalFormatting sqref="H1">
    <cfRule type="containsBlanks" dxfId="64" priority="19">
      <formula>LEN(TRIM(H1))=0</formula>
    </cfRule>
  </conditionalFormatting>
  <conditionalFormatting sqref="G1">
    <cfRule type="containsBlanks" dxfId="63" priority="17">
      <formula>LEN(TRIM(G1))=0</formula>
    </cfRule>
  </conditionalFormatting>
  <conditionalFormatting sqref="A1:B1">
    <cfRule type="containsBlanks" dxfId="62" priority="21">
      <formula>LEN(TRIM(A1))=0</formula>
    </cfRule>
  </conditionalFormatting>
  <conditionalFormatting sqref="B13">
    <cfRule type="containsBlanks" dxfId="61" priority="16">
      <formula>LEN(TRIM(B13))=0</formula>
    </cfRule>
  </conditionalFormatting>
  <conditionalFormatting sqref="G9">
    <cfRule type="containsBlanks" dxfId="60" priority="13">
      <formula>LEN(TRIM(G9))=0</formula>
    </cfRule>
  </conditionalFormatting>
  <conditionalFormatting sqref="A9:B9 B11:B12">
    <cfRule type="containsBlanks" dxfId="59" priority="15">
      <formula>LEN(TRIM(A9))=0</formula>
    </cfRule>
  </conditionalFormatting>
  <conditionalFormatting sqref="F9 F11:F12">
    <cfRule type="containsBlanks" dxfId="58" priority="14">
      <formula>LEN(TRIM(F9))=0</formula>
    </cfRule>
  </conditionalFormatting>
  <conditionalFormatting sqref="A14 A10">
    <cfRule type="containsBlanks" dxfId="57" priority="12">
      <formula>LEN(TRIM(A10))=0</formula>
    </cfRule>
  </conditionalFormatting>
  <conditionalFormatting sqref="A13 A15:A16">
    <cfRule type="containsBlanks" dxfId="56" priority="11">
      <formula>LEN(TRIM(A13))=0</formula>
    </cfRule>
  </conditionalFormatting>
  <conditionalFormatting sqref="A18 A20">
    <cfRule type="containsBlanks" dxfId="55" priority="10">
      <formula>LEN(TRIM(A18))=0</formula>
    </cfRule>
  </conditionalFormatting>
  <conditionalFormatting sqref="A17 A19">
    <cfRule type="containsBlanks" dxfId="54" priority="9">
      <formula>LEN(TRIM(A17))=0</formula>
    </cfRule>
  </conditionalFormatting>
  <conditionalFormatting sqref="B18:B20">
    <cfRule type="containsBlanks" dxfId="53" priority="7">
      <formula>LEN(TRIM(B18))=0</formula>
    </cfRule>
  </conditionalFormatting>
  <conditionalFormatting sqref="A12">
    <cfRule type="containsBlanks" dxfId="52" priority="6">
      <formula>LEN(TRIM(A12))=0</formula>
    </cfRule>
  </conditionalFormatting>
  <conditionalFormatting sqref="A11">
    <cfRule type="containsBlanks" dxfId="51" priority="5">
      <formula>LEN(TRIM(A11))=0</formula>
    </cfRule>
  </conditionalFormatting>
  <dataValidations count="6">
    <dataValidation type="list" allowBlank="1" showInputMessage="1" showErrorMessage="1" sqref="A1 A9:A15 A17:A48" xr:uid="{00000000-0002-0000-0500-000000000000}">
      <formula1>"LOT 0,LOT 1,LOT 2,LOT 3,LOT 4,LOT 5,LOT 6,LOT 7,LOT 8,LOT 9,LOT 10,LOT 11,LOT 12,LOT 13,LOT 14,LOT 14,LOT 15"</formula1>
    </dataValidation>
    <dataValidation type="list" allowBlank="1" showInputMessage="1" showErrorMessage="1" sqref="G1 G9:G15 G17:G48" xr:uid="{00000000-0002-0000-0500-000001000000}">
      <formula1>"SEM01,SEM02,SEM03,SEM04,SEM05,SEM06,SEM07,SEM08,SEM09,SEM10,SEM11,SEM12,SEM13,SEM14,SEM15,SEM16"</formula1>
    </dataValidation>
    <dataValidation type="list" allowBlank="1" showInputMessage="1" showErrorMessage="1" sqref="B1 B9:B15 B17:B48" xr:uid="{00000000-0002-0000-0500-000002000000}">
      <formula1>"1,2,3,4,5,6,7,8,9,10,11,12,13,14,15"</formula1>
    </dataValidation>
    <dataValidation type="list" allowBlank="1" showInputMessage="1" showErrorMessage="1" sqref="C1 C9:C15 C17:C48" xr:uid="{00000000-0002-0000-0500-000003000000}">
      <formula1>",,1,2,3,4,5,6,7,8,9,10,11,12,13,14,15"</formula1>
    </dataValidation>
    <dataValidation type="list" allowBlank="1" showInputMessage="1" showErrorMessage="1" sqref="H1" xr:uid="{00000000-0002-0000-0500-000004000000}">
      <formula1>"Coûts de sous-traitance,Coût de refacturation interne,Frais de Mission,Autres coûts"</formula1>
    </dataValidation>
    <dataValidation type="list" allowBlank="1" showInputMessage="1" showErrorMessage="1" sqref="H9:H48" xr:uid="{C12F9122-59B5-4D4C-BDBD-D6A32F1F4053}">
      <formula1>"Coûts de sous-traitance,Coût de refacturation interne,Frais de Mission,Equipement productif,Autres coûts"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Partenaires!$B$10:$F$10</xm:f>
          </x14:formula1>
          <xm:sqref>F1 F9:F15 F17:F48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sheetPr>
  <dimension ref="A1:AU43"/>
  <sheetViews>
    <sheetView showGridLines="0" topLeftCell="C1" zoomScale="80" zoomScaleNormal="80" workbookViewId="0">
      <pane ySplit="11" topLeftCell="A12" activePane="bottomLeft" state="frozen"/>
      <selection pane="bottomLeft" activeCell="AW10" sqref="AW10"/>
    </sheetView>
  </sheetViews>
  <sheetFormatPr baseColWidth="10" defaultColWidth="13.81640625" defaultRowHeight="14.5" outlineLevelCol="1" x14ac:dyDescent="0.35"/>
  <cols>
    <col min="1" max="2" width="8.7265625" style="76" customWidth="1"/>
    <col min="3" max="3" width="10.26953125" style="76" customWidth="1"/>
    <col min="4" max="4" width="18.7265625" style="76" customWidth="1"/>
    <col min="5" max="5" width="28.81640625" style="76" customWidth="1"/>
    <col min="6" max="6" width="15.453125" style="76" customWidth="1"/>
    <col min="7" max="7" width="11.453125" style="76" customWidth="1"/>
    <col min="8" max="8" width="11" style="76" customWidth="1"/>
    <col min="9" max="9" width="13.26953125" style="76" customWidth="1"/>
    <col min="10" max="14" width="18.54296875" style="93" customWidth="1" outlineLevel="1"/>
    <col min="15" max="15" width="17.26953125" style="93" customWidth="1" outlineLevel="1"/>
    <col min="16" max="20" width="15.81640625" style="93" customWidth="1" outlineLevel="1"/>
    <col min="21" max="21" width="13.81640625" style="93" customWidth="1"/>
    <col min="22" max="22" width="28.81640625" style="93" customWidth="1"/>
    <col min="23" max="25" width="13.81640625" style="93" customWidth="1"/>
    <col min="26" max="27" width="29" style="93" customWidth="1"/>
    <col min="28" max="30" width="13.81640625" style="93" customWidth="1"/>
    <col min="31" max="31" width="36.1796875" style="93" customWidth="1"/>
    <col min="32" max="32" width="19.54296875" style="93" customWidth="1"/>
    <col min="33" max="33" width="17.26953125" style="76" customWidth="1"/>
    <col min="34" max="34" width="12.81640625" style="76" customWidth="1"/>
    <col min="35" max="47" width="14.7265625" style="94" customWidth="1"/>
    <col min="48" max="16384" width="13.81640625" style="76"/>
  </cols>
  <sheetData>
    <row r="1" spans="1:47" ht="18" customHeight="1" x14ac:dyDescent="0.35">
      <c r="A1" s="35"/>
      <c r="B1" s="35"/>
      <c r="C1" s="35"/>
      <c r="D1" s="36" t="str">
        <f t="shared" ref="D1" si="0">CONCATENATE(A1,B1,C1)</f>
        <v/>
      </c>
      <c r="E1" s="84">
        <f>IFERROR(VLOOKUP(D1,'Structure projet '!D:E,2,FALSE),"")</f>
        <v>0</v>
      </c>
      <c r="F1" s="35"/>
      <c r="G1" s="35"/>
      <c r="H1" s="36"/>
      <c r="I1" s="36"/>
      <c r="J1" s="43"/>
      <c r="K1" s="43"/>
      <c r="L1" s="43"/>
      <c r="M1" s="43"/>
      <c r="N1" s="43"/>
      <c r="O1" s="189">
        <f>SUM(J1:N1)</f>
        <v>0</v>
      </c>
      <c r="P1" s="43"/>
      <c r="Q1" s="43"/>
      <c r="R1" s="43"/>
      <c r="S1" s="43"/>
      <c r="T1" s="43"/>
      <c r="U1" s="190">
        <f>J1*P1+K1*Q1+L1*R1+M1*S1+N1*T1</f>
        <v>0</v>
      </c>
      <c r="V1" s="45"/>
      <c r="W1" s="190">
        <f t="shared" ref="W1" si="1">IF(U1-V1=0,0,U1-V1)</f>
        <v>0</v>
      </c>
      <c r="X1" s="190">
        <f>IF(F1="",0,IF(AG1="PE",0,IF(OR(HLOOKUP(F1,Partenaires!$B$10:$F$21,2,FALSE)="ER 50%*coûts complets",HLOOKUP(F1,Partenaires!$B$10:$F$21,2,FALSE)="GE",HLOOKUP(F1,Partenaires!$B$10:$F$21,2,FALSE)="ME",HLOOKUP(F1,Partenaires!$B$10:$F$21,2,FALSE)="PE"),20%*U1,IF(HLOOKUP(F1,Partenaires!$B$10:$F$21,2,FALSE)="ER 100%*coûts marginaux",4%*Z1+8%*SUM(W1,Y1,AB1:AD1),0))))</f>
        <v>0</v>
      </c>
      <c r="Y1" s="43" t="str">
        <f>_xlfn.IFNA(IF(VLOOKUP(CONCATENATE($D1,$F1,$G1,Y$3),'Description des coûts'!$D$8:$M$1048576,5,FALSE)=Y$3,VLOOKUP(CONCATENATE($D1,$F1,$G1,Y$3),'Description des coûts'!$D$8:$M$1048576,9,FALSE),0),"")</f>
        <v/>
      </c>
      <c r="Z1" s="43" t="str">
        <f>_xlfn.IFNA(VLOOKUP(D1,Amortissements!$D$8:$O$1048576,8,FALSE),0)</f>
        <v/>
      </c>
      <c r="AA1" s="43" t="str">
        <f>_xlfn.IFNA(IF(VLOOKUP(CONCATENATE($D1,$F1,$G1,AA$3),'Description des coûts'!$D$8:$M$1048576,5,FALSE)=AA$3,VLOOKUP(CONCATENATE($D1,$F1,$G1,AA$3),'Description des coûts'!$D$8:$M$1048576,9,FALSE),0),"")</f>
        <v/>
      </c>
      <c r="AB1" s="43" t="str">
        <f>_xlfn.IFNA(IF(VLOOKUP(CONCATENATE($D1,$F1,$G1,AB$3),'Description des coûts'!$D$8:$M$1048576,5,FALSE)=AB$3,VLOOKUP(CONCATENATE($D1,$F1,$G1,AB$3),'Description des coûts'!$D$8:$M$1048576,9,FALSE),0),"")</f>
        <v/>
      </c>
      <c r="AC1" s="43" t="str">
        <f>_xlfn.IFNA(IF(VLOOKUP(CONCATENATE($D1,$F1,$G1,AC$3),'Description des coûts'!$D$8:$M$1048576,5,FALSE)=AC$3,VLOOKUP(CONCATENATE($D1,$F1,$G1,AC$3),'Description des coûts'!$D$8:$M$1048576,9,FALSE),0),"")</f>
        <v/>
      </c>
      <c r="AD1" s="43" t="str">
        <f>_xlfn.IFNA(IF(VLOOKUP(CONCATENATE($D1,$F1,$G1,AD$3),'Description des coûts'!$D$8:$M$1048576,5,FALSE)=AD$3,VLOOKUP(CONCATENATE($D1,$F1,$G1,AD$3),'Description des coûts'!$D$8:$M$1048576,9,FALSE),0),"")</f>
        <v/>
      </c>
      <c r="AE1" s="45"/>
      <c r="AF1" s="190">
        <f t="shared" ref="AF1" si="2">U1+SUM(X1:AD1)</f>
        <v>0</v>
      </c>
      <c r="AG1" s="35"/>
      <c r="AH1" s="191">
        <f>IF(F1="",0,IF(AG1="RI",N(HLOOKUP($F1,Partenaires!$B$10:$F$21,6,FALSE)),IF(AG1="DE",N(HLOOKUP($F1,Partenaires!$B$10:$F$21,7,FALSE)),IF(AG1="PE",N(HLOOKUP($F1,Partenaires!$B$10:$F$21,8,FALSE)),0))))</f>
        <v>0</v>
      </c>
      <c r="AI1" s="192">
        <f>IF(F1="",0,IF(OR(AG1="DE",AG1="NE",AG1="NR",AG1="PE"),0,IF(HLOOKUP(F1,Partenaires!$B$10:$F$21,2,FALSE)="ER 100%*coûts marginaux",AF1-V1,IF(AG1="RI",AF1,0))))</f>
        <v>0</v>
      </c>
      <c r="AJ1" s="192">
        <f>IF(OR(AG1="RI",AG1="NE",AG1="NR",AG1="PE"),0,IF(AG1="DE",AF1-V1,0))</f>
        <v>0</v>
      </c>
      <c r="AK1" s="192"/>
      <c r="AL1" s="192">
        <f>IF(AG1="PE",AF1-V1,0)</f>
        <v>0</v>
      </c>
      <c r="AM1" s="192">
        <f>IF(AG1="PE",AL1-(AL1*N(HLOOKUP($F1,Partenaires!$B$10:$F$21,9,FALSE))/N(HLOOKUP($F1,Partenaires!$B$10:$F$21,10,FALSE))),0)</f>
        <v>0</v>
      </c>
      <c r="AN1" s="192">
        <f>AI1+AJ1+AM1</f>
        <v>0</v>
      </c>
      <c r="AO1" s="192">
        <f>IF(AG1="NE",AF1,V1)</f>
        <v>0</v>
      </c>
      <c r="AP1" s="192">
        <f>IF(AG1="NR",AF1,0)</f>
        <v>0</v>
      </c>
      <c r="AQ1" s="192">
        <f>IF(AG1="PE",AL1-AM1,0)</f>
        <v>0</v>
      </c>
      <c r="AR1" s="192">
        <f>AO1+AP1+AQ1</f>
        <v>0</v>
      </c>
      <c r="AS1" s="192">
        <f t="shared" ref="AS1" si="3">AU1-AT1</f>
        <v>0</v>
      </c>
      <c r="AT1" s="192">
        <f>IF(F1="",0,$AU1*N(HLOOKUP($F1,Partenaires!$B$10:$F$21,6,FALSE)))</f>
        <v>0</v>
      </c>
      <c r="AU1" s="192">
        <f>AN1*AH1</f>
        <v>0</v>
      </c>
    </row>
    <row r="2" spans="1:47" x14ac:dyDescent="0.35">
      <c r="A2" s="325" t="s">
        <v>258</v>
      </c>
      <c r="B2" s="325"/>
      <c r="C2" s="325"/>
      <c r="D2" s="325"/>
      <c r="E2" s="325"/>
      <c r="F2" s="325"/>
    </row>
    <row r="3" spans="1:47" s="104" customFormat="1" ht="37.5" customHeight="1" x14ac:dyDescent="0.35">
      <c r="A3" s="70" t="s">
        <v>102</v>
      </c>
      <c r="B3" s="87"/>
      <c r="C3" s="87"/>
      <c r="D3" s="87"/>
      <c r="E3" s="87"/>
      <c r="F3" s="87"/>
      <c r="G3" s="88"/>
      <c r="H3" s="95"/>
      <c r="I3" s="95"/>
      <c r="J3" s="96" t="s">
        <v>37</v>
      </c>
      <c r="K3" s="96" t="s">
        <v>38</v>
      </c>
      <c r="L3" s="96" t="s">
        <v>39</v>
      </c>
      <c r="M3" s="96" t="s">
        <v>40</v>
      </c>
      <c r="N3" s="96" t="s">
        <v>41</v>
      </c>
      <c r="O3" s="97" t="s">
        <v>42</v>
      </c>
      <c r="P3" s="98"/>
      <c r="Q3" s="98"/>
      <c r="R3" s="98"/>
      <c r="S3" s="98"/>
      <c r="T3" s="98"/>
      <c r="U3" s="99" t="s">
        <v>43</v>
      </c>
      <c r="V3" s="99" t="s">
        <v>44</v>
      </c>
      <c r="W3" s="99" t="s">
        <v>45</v>
      </c>
      <c r="X3" s="99" t="s">
        <v>28</v>
      </c>
      <c r="Y3" s="99" t="s">
        <v>26</v>
      </c>
      <c r="Z3" s="99" t="s">
        <v>276</v>
      </c>
      <c r="AA3" s="282" t="s">
        <v>295</v>
      </c>
      <c r="AB3" s="99" t="s">
        <v>46</v>
      </c>
      <c r="AC3" s="99" t="s">
        <v>47</v>
      </c>
      <c r="AD3" s="99" t="s">
        <v>19</v>
      </c>
      <c r="AE3" s="100"/>
      <c r="AF3" s="99" t="s">
        <v>49</v>
      </c>
      <c r="AG3" s="101"/>
      <c r="AH3" s="101"/>
      <c r="AI3" s="102" t="s">
        <v>50</v>
      </c>
      <c r="AJ3" s="102" t="s">
        <v>51</v>
      </c>
      <c r="AK3" s="281" t="s">
        <v>284</v>
      </c>
      <c r="AL3" s="102" t="s">
        <v>52</v>
      </c>
      <c r="AM3" s="102" t="s">
        <v>53</v>
      </c>
      <c r="AN3" s="102" t="s">
        <v>54</v>
      </c>
      <c r="AO3" s="102" t="s">
        <v>55</v>
      </c>
      <c r="AP3" s="102" t="s">
        <v>56</v>
      </c>
      <c r="AQ3" s="102" t="s">
        <v>57</v>
      </c>
      <c r="AR3" s="102" t="s">
        <v>58</v>
      </c>
      <c r="AS3" s="103" t="s">
        <v>59</v>
      </c>
      <c r="AT3" s="103" t="s">
        <v>60</v>
      </c>
      <c r="AU3" s="103" t="s">
        <v>61</v>
      </c>
    </row>
    <row r="4" spans="1:47" s="105" customFormat="1" ht="27" customHeight="1" thickBot="1" x14ac:dyDescent="0.4">
      <c r="B4" s="95"/>
      <c r="C4" s="95"/>
      <c r="D4" s="95"/>
      <c r="E4" s="106"/>
      <c r="F4" s="107"/>
      <c r="H4" s="108"/>
      <c r="I4" s="109" t="s">
        <v>62</v>
      </c>
      <c r="J4" s="194">
        <f>SUM(J8:J807)</f>
        <v>2</v>
      </c>
      <c r="K4" s="194">
        <f>SUM(K7:K807)</f>
        <v>2</v>
      </c>
      <c r="L4" s="194">
        <f>SUM(L7:L807)</f>
        <v>0</v>
      </c>
      <c r="M4" s="194">
        <f>SUM(M7:M807)</f>
        <v>0</v>
      </c>
      <c r="N4" s="194">
        <f>SUM(N7:N807)</f>
        <v>0</v>
      </c>
      <c r="O4" s="195">
        <f>SUM(O7:O807)</f>
        <v>4</v>
      </c>
      <c r="P4" s="188"/>
      <c r="Q4" s="188"/>
      <c r="R4" s="188"/>
      <c r="S4" s="188"/>
      <c r="T4" s="188"/>
      <c r="U4" s="44">
        <f>SUM(U7:U807)</f>
        <v>32000</v>
      </c>
      <c r="V4" s="44">
        <f>SUM(V7:V807)</f>
        <v>0</v>
      </c>
      <c r="W4" s="44">
        <f t="shared" ref="W4:AD4" si="4">SUM(W10:W807)</f>
        <v>32000</v>
      </c>
      <c r="X4" s="44">
        <f t="shared" si="4"/>
        <v>6400</v>
      </c>
      <c r="Y4" s="44">
        <f t="shared" si="4"/>
        <v>10000</v>
      </c>
      <c r="Z4" s="44">
        <f t="shared" si="4"/>
        <v>200000</v>
      </c>
      <c r="AA4" s="44">
        <f t="shared" ref="AA4" si="5">SUM(AA10:AA807)</f>
        <v>100000</v>
      </c>
      <c r="AB4" s="44">
        <f t="shared" si="4"/>
        <v>0</v>
      </c>
      <c r="AC4" s="44">
        <f t="shared" si="4"/>
        <v>0</v>
      </c>
      <c r="AD4" s="44">
        <f t="shared" si="4"/>
        <v>100000</v>
      </c>
      <c r="AE4" s="187"/>
      <c r="AF4" s="44">
        <f>SUM(AF10:AF807)</f>
        <v>448400</v>
      </c>
      <c r="AG4" s="110"/>
      <c r="AH4" s="101"/>
      <c r="AI4" s="193">
        <f t="shared" ref="AI4:AU4" si="6">SUM(AI10:AI807)</f>
        <v>224400</v>
      </c>
      <c r="AJ4" s="193">
        <f t="shared" si="6"/>
        <v>24000</v>
      </c>
      <c r="AK4" s="193">
        <f t="shared" ref="AK4" si="7">SUM(AK10:AK807)</f>
        <v>100000</v>
      </c>
      <c r="AL4" s="193">
        <f t="shared" si="6"/>
        <v>100000</v>
      </c>
      <c r="AM4" s="193">
        <f t="shared" si="6"/>
        <v>99950</v>
      </c>
      <c r="AN4" s="193">
        <f t="shared" si="6"/>
        <v>448350</v>
      </c>
      <c r="AO4" s="193">
        <f t="shared" si="6"/>
        <v>0</v>
      </c>
      <c r="AP4" s="193">
        <f t="shared" si="6"/>
        <v>0</v>
      </c>
      <c r="AQ4" s="193">
        <f t="shared" si="6"/>
        <v>50</v>
      </c>
      <c r="AR4" s="193">
        <f t="shared" si="6"/>
        <v>50</v>
      </c>
      <c r="AS4" s="193">
        <f t="shared" si="6"/>
        <v>153165</v>
      </c>
      <c r="AT4" s="193">
        <f t="shared" si="6"/>
        <v>102110</v>
      </c>
      <c r="AU4" s="193">
        <f t="shared" si="6"/>
        <v>255275</v>
      </c>
    </row>
    <row r="5" spans="1:47" s="105" customFormat="1" ht="27" customHeight="1" x14ac:dyDescent="0.35">
      <c r="A5" s="111" t="s">
        <v>153</v>
      </c>
      <c r="B5" s="112"/>
      <c r="C5" s="113" t="s">
        <v>108</v>
      </c>
      <c r="D5" s="114"/>
      <c r="E5" s="114"/>
      <c r="F5" s="115"/>
      <c r="G5" s="76"/>
      <c r="H5" s="108"/>
      <c r="I5" s="109" t="s">
        <v>107</v>
      </c>
      <c r="J5" s="194">
        <f>SUBTOTAL(9,J8:J807)</f>
        <v>2</v>
      </c>
      <c r="K5" s="194">
        <f>SUBTOTAL(9,K7:K807)</f>
        <v>2</v>
      </c>
      <c r="L5" s="194">
        <f>SUBTOTAL(9,L7:L807)</f>
        <v>0</v>
      </c>
      <c r="M5" s="194">
        <f>SUBTOTAL(9,M7:M807)</f>
        <v>0</v>
      </c>
      <c r="N5" s="194">
        <f>SUBTOTAL(9,N7:N807)</f>
        <v>0</v>
      </c>
      <c r="O5" s="195">
        <f>SUBTOTAL(9,O7:O807)</f>
        <v>4</v>
      </c>
      <c r="P5" s="188"/>
      <c r="Q5" s="188"/>
      <c r="R5" s="188"/>
      <c r="S5" s="188"/>
      <c r="T5" s="188"/>
      <c r="U5" s="44">
        <f>SUBTOTAL(9,U7:U807)</f>
        <v>32000</v>
      </c>
      <c r="V5" s="44">
        <f>SUBTOTAL(9,V7:V807)</f>
        <v>0</v>
      </c>
      <c r="W5" s="44">
        <f t="shared" ref="W5:AD5" si="8">SUBTOTAL(9,W10:W807)</f>
        <v>32000</v>
      </c>
      <c r="X5" s="44">
        <f t="shared" si="8"/>
        <v>6400</v>
      </c>
      <c r="Y5" s="44">
        <f t="shared" si="8"/>
        <v>10000</v>
      </c>
      <c r="Z5" s="44">
        <f t="shared" si="8"/>
        <v>200000</v>
      </c>
      <c r="AA5" s="44">
        <f t="shared" ref="AA5" si="9">SUBTOTAL(9,AA10:AA807)</f>
        <v>100000</v>
      </c>
      <c r="AB5" s="44">
        <f t="shared" si="8"/>
        <v>0</v>
      </c>
      <c r="AC5" s="44">
        <f t="shared" si="8"/>
        <v>0</v>
      </c>
      <c r="AD5" s="44">
        <f t="shared" si="8"/>
        <v>100000</v>
      </c>
      <c r="AE5" s="187"/>
      <c r="AF5" s="44">
        <f>SUBTOTAL(9,AF10:AF807)</f>
        <v>448400</v>
      </c>
      <c r="AG5" s="110"/>
      <c r="AH5" s="101"/>
      <c r="AI5" s="193">
        <f t="shared" ref="AI5:AU5" si="10">SUBTOTAL(9,AI10:AI807)</f>
        <v>224400</v>
      </c>
      <c r="AJ5" s="193">
        <f t="shared" si="10"/>
        <v>24000</v>
      </c>
      <c r="AK5" s="193">
        <f t="shared" ref="AK5" si="11">SUBTOTAL(9,AK10:AK807)</f>
        <v>100000</v>
      </c>
      <c r="AL5" s="193">
        <f t="shared" si="10"/>
        <v>100000</v>
      </c>
      <c r="AM5" s="193">
        <f t="shared" si="10"/>
        <v>99950</v>
      </c>
      <c r="AN5" s="193">
        <f t="shared" si="10"/>
        <v>448350</v>
      </c>
      <c r="AO5" s="193">
        <f t="shared" si="10"/>
        <v>0</v>
      </c>
      <c r="AP5" s="193">
        <f t="shared" si="10"/>
        <v>0</v>
      </c>
      <c r="AQ5" s="193">
        <f t="shared" si="10"/>
        <v>50</v>
      </c>
      <c r="AR5" s="193">
        <f t="shared" si="10"/>
        <v>50</v>
      </c>
      <c r="AS5" s="193">
        <f t="shared" si="10"/>
        <v>153165</v>
      </c>
      <c r="AT5" s="193">
        <f t="shared" si="10"/>
        <v>102110</v>
      </c>
      <c r="AU5" s="193">
        <f t="shared" si="10"/>
        <v>255275</v>
      </c>
    </row>
    <row r="6" spans="1:47" ht="15" thickBot="1" x14ac:dyDescent="0.4">
      <c r="A6" s="116"/>
      <c r="B6" s="117"/>
      <c r="C6" s="118" t="s">
        <v>109</v>
      </c>
      <c r="D6" s="118"/>
      <c r="E6" s="118"/>
      <c r="F6" s="119"/>
    </row>
    <row r="8" spans="1:47" x14ac:dyDescent="0.35">
      <c r="J8" s="120"/>
      <c r="P8" s="120"/>
      <c r="Z8" s="121" t="str">
        <f>"reste à saisir en montant manuel (coller en valeurs sur les semestres) :"</f>
        <v>reste à saisir en montant manuel (coller en valeurs sur les semestres) :</v>
      </c>
      <c r="AA8" s="121"/>
    </row>
    <row r="9" spans="1:47" x14ac:dyDescent="0.35">
      <c r="J9" s="120" t="s">
        <v>103</v>
      </c>
      <c r="P9" s="120" t="s">
        <v>104</v>
      </c>
      <c r="Z9" s="122" t="str">
        <f>IF(Amortissements!N5-Amortissements!N6=0,"rien - tout est OK",Amortissements!N5-Amortissements!N6)</f>
        <v>rien - tout est OK</v>
      </c>
      <c r="AA9" s="122"/>
      <c r="AG9" s="123" t="s">
        <v>106</v>
      </c>
    </row>
    <row r="10" spans="1:47" s="127" customFormat="1" ht="54" customHeight="1" x14ac:dyDescent="0.35">
      <c r="A10" s="91" t="s">
        <v>11</v>
      </c>
      <c r="B10" s="91" t="s">
        <v>10</v>
      </c>
      <c r="C10" s="91" t="s">
        <v>9</v>
      </c>
      <c r="D10" s="91" t="s">
        <v>247</v>
      </c>
      <c r="E10" s="91" t="s">
        <v>7</v>
      </c>
      <c r="F10" s="91" t="s">
        <v>63</v>
      </c>
      <c r="G10" s="91" t="s">
        <v>64</v>
      </c>
      <c r="H10" s="91" t="s">
        <v>100</v>
      </c>
      <c r="I10" s="91" t="s">
        <v>101</v>
      </c>
      <c r="J10" s="124" t="s">
        <v>37</v>
      </c>
      <c r="K10" s="124" t="s">
        <v>38</v>
      </c>
      <c r="L10" s="124" t="s">
        <v>39</v>
      </c>
      <c r="M10" s="124" t="s">
        <v>40</v>
      </c>
      <c r="N10" s="124" t="s">
        <v>41</v>
      </c>
      <c r="O10" s="124" t="s">
        <v>42</v>
      </c>
      <c r="P10" s="124" t="s">
        <v>65</v>
      </c>
      <c r="Q10" s="124" t="s">
        <v>66</v>
      </c>
      <c r="R10" s="124" t="s">
        <v>67</v>
      </c>
      <c r="S10" s="124" t="s">
        <v>68</v>
      </c>
      <c r="T10" s="124" t="s">
        <v>69</v>
      </c>
      <c r="U10" s="124" t="s">
        <v>43</v>
      </c>
      <c r="V10" s="124" t="s">
        <v>70</v>
      </c>
      <c r="W10" s="124" t="s">
        <v>45</v>
      </c>
      <c r="X10" s="124" t="s">
        <v>71</v>
      </c>
      <c r="Y10" s="124" t="s">
        <v>26</v>
      </c>
      <c r="Z10" s="124" t="s">
        <v>277</v>
      </c>
      <c r="AA10" s="124" t="s">
        <v>286</v>
      </c>
      <c r="AB10" s="124" t="s">
        <v>23</v>
      </c>
      <c r="AC10" s="124" t="s">
        <v>21</v>
      </c>
      <c r="AD10" s="124" t="s">
        <v>19</v>
      </c>
      <c r="AE10" s="124" t="s">
        <v>48</v>
      </c>
      <c r="AF10" s="124" t="s">
        <v>49</v>
      </c>
      <c r="AG10" s="91" t="s">
        <v>72</v>
      </c>
      <c r="AH10" s="91" t="s">
        <v>73</v>
      </c>
      <c r="AI10" s="125" t="s">
        <v>50</v>
      </c>
      <c r="AJ10" s="125" t="s">
        <v>51</v>
      </c>
      <c r="AK10" s="125" t="s">
        <v>285</v>
      </c>
      <c r="AL10" s="125" t="s">
        <v>52</v>
      </c>
      <c r="AM10" s="125" t="s">
        <v>74</v>
      </c>
      <c r="AN10" s="125" t="s">
        <v>54</v>
      </c>
      <c r="AO10" s="125" t="s">
        <v>55</v>
      </c>
      <c r="AP10" s="125" t="s">
        <v>56</v>
      </c>
      <c r="AQ10" s="125" t="s">
        <v>57</v>
      </c>
      <c r="AR10" s="125" t="s">
        <v>58</v>
      </c>
      <c r="AS10" s="125" t="s">
        <v>59</v>
      </c>
      <c r="AT10" s="125" t="s">
        <v>60</v>
      </c>
      <c r="AU10" s="126" t="s">
        <v>61</v>
      </c>
    </row>
    <row r="11" spans="1:47" ht="18" customHeight="1" x14ac:dyDescent="0.35">
      <c r="A11" s="35" t="s">
        <v>6</v>
      </c>
      <c r="B11" s="35">
        <v>1</v>
      </c>
      <c r="C11" s="35">
        <v>1</v>
      </c>
      <c r="D11" s="83" t="str">
        <f t="shared" ref="D11:D43" si="12">CONCATENATE(A11,B11,C11)</f>
        <v>LOT 011</v>
      </c>
      <c r="E11" s="84" t="str">
        <f>IFERROR(VLOOKUP(CONCATENATE(A11,B11,C11),'Structure projet '!D:E,2,FALSE),"")</f>
        <v>Tache de DE</v>
      </c>
      <c r="F11" s="35" t="s">
        <v>218</v>
      </c>
      <c r="G11" s="35" t="s">
        <v>130</v>
      </c>
      <c r="H11" s="36"/>
      <c r="I11" s="36"/>
      <c r="J11" s="58">
        <v>1</v>
      </c>
      <c r="K11" s="58"/>
      <c r="L11" s="58"/>
      <c r="M11" s="58"/>
      <c r="N11" s="58"/>
      <c r="O11" s="189">
        <f t="shared" ref="O11:O43" si="13">SUM(J11:N11)</f>
        <v>1</v>
      </c>
      <c r="P11" s="43">
        <v>10000</v>
      </c>
      <c r="Q11" s="43"/>
      <c r="R11" s="43"/>
      <c r="S11" s="43"/>
      <c r="T11" s="43"/>
      <c r="U11" s="190">
        <f t="shared" ref="U11:U43" si="14">SUMPRODUCT(J11:N11,P11:T11)</f>
        <v>10000</v>
      </c>
      <c r="V11" s="162"/>
      <c r="W11" s="190">
        <f t="shared" ref="W11" si="15">IF(U11-V11=0,0,U11-V11)</f>
        <v>10000</v>
      </c>
      <c r="X11" s="190">
        <f>IF(F11="",0,IF(AG11="PE",0,IF(OR(HLOOKUP(F11,Partenaires!$B$10:$F$21,2,FALSE)="ER 50%*coûts complets",HLOOKUP(F11,Partenaires!$B$10:$F$21,2,FALSE)="GE",HLOOKUP(F11,Partenaires!$B$10:$F$21,2,FALSE)="ME",HLOOKUP(F11,Partenaires!$B$10:$F$21,2,FALSE)="PE"),20%*U11,IF(HLOOKUP(F11,Partenaires!$B$10:$F$21,2,FALSE)="ER 100%*coûts marginaux",4%*Z11+8%*SUM(W11,Y11,AB11:AD11),0))))</f>
        <v>2000</v>
      </c>
      <c r="Y11" s="43" t="str">
        <f>_xlfn.IFNA(IF(VLOOKUP(CONCATENATE($D11,$F11,$G11,Y$3),'Description des coûts'!$D$8:$M$1048576,5,FALSE)=Y$3,VLOOKUP(CONCATENATE($D11,$F11,$G11,Y$3),'Description des coûts'!$D$8:$M$1048576,9,FALSE),0),"")</f>
        <v/>
      </c>
      <c r="Z11" s="43">
        <f>_xlfn.IFNA(VLOOKUP(D11,Amortissements!$D$8:$O$1048576,8,FALSE),0)</f>
        <v>0</v>
      </c>
      <c r="AA11" s="43" t="str">
        <f>_xlfn.IFNA(IF(VLOOKUP(CONCATENATE($D11,$F11,$G11,AA$3),'Description des coûts'!$D$8:$M$1048576,5,FALSE)=AA$3,VLOOKUP(CONCATENATE($D11,$F11,$G11,AA$3),'Description des coûts'!$D$8:$M$1048576,9,FALSE),0),"")</f>
        <v/>
      </c>
      <c r="AB11" s="43" t="str">
        <f>_xlfn.IFNA(IF(VLOOKUP(CONCATENATE($D11,$F11,$G11,AB$3),'Description des coûts'!$D$8:$M$1048576,5,FALSE)=AB$3,VLOOKUP(CONCATENATE($D11,$F11,$G11,AB$3),'Description des coûts'!$D$8:$M$1048576,9,FALSE),0),"")</f>
        <v/>
      </c>
      <c r="AC11" s="43" t="str">
        <f>_xlfn.IFNA(IF(VLOOKUP(CONCATENATE($D11,$F11,$G11,AC$3),'Description des coûts'!$D$8:$M$1048576,5,FALSE)=AC$3,VLOOKUP(CONCATENATE($D11,$F11,$G11,AC$3),'Description des coûts'!$D$8:$M$1048576,9,FALSE),0),"")</f>
        <v/>
      </c>
      <c r="AD11" s="43" t="str">
        <f>_xlfn.IFNA(IF(VLOOKUP(CONCATENATE($D11,$F11,$G11,AD$3),'Description des coûts'!$D$8:$M$1048576,5,FALSE)=AD$3,VLOOKUP(CONCATENATE($D11,$F11,$G11,AD$3),'Description des coûts'!$D$8:$M$1048576,9,FALSE),0),"")</f>
        <v/>
      </c>
      <c r="AE11" s="36"/>
      <c r="AF11" s="190">
        <f t="shared" ref="AF11" si="16">U11+SUM(X11:AD11)</f>
        <v>12000</v>
      </c>
      <c r="AG11" s="35" t="s">
        <v>216</v>
      </c>
      <c r="AH11" s="191">
        <f>IF(F11="",0,IF(AG11="RI",N(HLOOKUP($F11,Partenaires!$B$10:$F$21,6,FALSE)),IF(AG11="DE",N(HLOOKUP($F11,Partenaires!$B$10:$F$21,7,FALSE)),IF(AG11="PE",N(HLOOKUP($F11,Partenaires!$B$10:$F$21,9,FALSE)),IF(AG11="RD",N(HLOOKUP($F11,Partenaires!$B$10:$F$21,8,FALSE)),0)))))</f>
        <v>0.5</v>
      </c>
      <c r="AI11" s="192">
        <f>IF(F11="",0,IF(OR(AG11="DE",AG11="NE",AG11="NR",AG11="PE"),0,IF(HLOOKUP(F11,Partenaires!$B$10:$F$21,2,FALSE)="ER 100%*coûts marginaux",AF11-V11,IF(AG11="RI",AF11,0))))</f>
        <v>0</v>
      </c>
      <c r="AJ11" s="192">
        <f t="shared" ref="AJ11:AJ43" si="17">IF(OR(AG11="RI",AG11="NE",AG11="NR",AG11="PE"),0,IF(AG11="DE",AF11-V11,0))</f>
        <v>12000</v>
      </c>
      <c r="AK11" s="192">
        <f>IF(OR(AG11="RI",AG11="NE",AG11="NR",AG11="PE",AG11="DE"),0,IF(AG11="RD",AF11-V11,0))</f>
        <v>0</v>
      </c>
      <c r="AL11" s="192">
        <f t="shared" ref="AL11:AL43" si="18">IF(AG11="PE",AF11-V11,0)</f>
        <v>0</v>
      </c>
      <c r="AM11" s="192">
        <f>IF(AG11="PE",AL11-(AL11*N(HLOOKUP($F11,Partenaires!$B$10:$F$21,9,FALSE))/N(HLOOKUP($F11,Partenaires!$B$10:$F$21,10,FALSE))),0)</f>
        <v>0</v>
      </c>
      <c r="AN11" s="192">
        <f>AI11+AJ11+AM11+AK11</f>
        <v>12000</v>
      </c>
      <c r="AO11" s="192">
        <f t="shared" ref="AO11:AO43" si="19">IF(AG11="NE",AF11,V11)</f>
        <v>0</v>
      </c>
      <c r="AP11" s="192">
        <f t="shared" ref="AP11:AP43" si="20">IF(AG11="NR",AF11,0)</f>
        <v>0</v>
      </c>
      <c r="AQ11" s="192">
        <f t="shared" ref="AQ11:AQ43" si="21">IF(AG11="PE",AL11-AM11,0)</f>
        <v>0</v>
      </c>
      <c r="AR11" s="192">
        <f t="shared" ref="AR11:AR43" si="22">AO11+AP11+AQ11</f>
        <v>0</v>
      </c>
      <c r="AS11" s="192">
        <f t="shared" ref="AS11" si="23">AU11-AT11</f>
        <v>3600</v>
      </c>
      <c r="AT11" s="192">
        <f>IF(F11="",0,$AU11*N(HLOOKUP($F11,Partenaires!$B$10:$F$21,5,FALSE)))</f>
        <v>2400</v>
      </c>
      <c r="AU11" s="192">
        <f t="shared" ref="AU11:AU43" si="24">AN11*AH11</f>
        <v>6000</v>
      </c>
    </row>
    <row r="12" spans="1:47" ht="18" customHeight="1" x14ac:dyDescent="0.35">
      <c r="A12" s="35" t="s">
        <v>6</v>
      </c>
      <c r="B12" s="35">
        <v>1</v>
      </c>
      <c r="C12" s="35">
        <v>1</v>
      </c>
      <c r="D12" s="83" t="str">
        <f t="shared" ref="D12" si="25">CONCATENATE(A12,B12,C12)</f>
        <v>LOT 011</v>
      </c>
      <c r="E12" s="84" t="str">
        <f>IFERROR(VLOOKUP(CONCATENATE(A12,B12,C12),'Structure projet '!D:E,2,FALSE),"")</f>
        <v>Tache de DE</v>
      </c>
      <c r="F12" s="35" t="s">
        <v>218</v>
      </c>
      <c r="G12" s="35" t="s">
        <v>197</v>
      </c>
      <c r="H12" s="36"/>
      <c r="I12" s="36"/>
      <c r="J12" s="58">
        <v>1</v>
      </c>
      <c r="K12" s="58"/>
      <c r="L12" s="58"/>
      <c r="M12" s="58"/>
      <c r="N12" s="58"/>
      <c r="O12" s="189">
        <f t="shared" ref="O12" si="26">SUM(J12:N12)</f>
        <v>1</v>
      </c>
      <c r="P12" s="43">
        <v>10000</v>
      </c>
      <c r="Q12" s="43"/>
      <c r="R12" s="43"/>
      <c r="S12" s="43"/>
      <c r="T12" s="43"/>
      <c r="U12" s="190">
        <f t="shared" ref="U12" si="27">SUMPRODUCT(J12:N12,P12:T12)</f>
        <v>10000</v>
      </c>
      <c r="V12" s="162"/>
      <c r="W12" s="190">
        <f t="shared" ref="W12" si="28">IF(U12-V12=0,0,U12-V12)</f>
        <v>10000</v>
      </c>
      <c r="X12" s="190">
        <f>IF(F12="",0,IF(AG12="PE",0,IF(OR(HLOOKUP(F12,Partenaires!$B$10:$F$21,2,FALSE)="ER 50%*coûts complets",HLOOKUP(F12,Partenaires!$B$10:$F$21,2,FALSE)="GE",HLOOKUP(F12,Partenaires!$B$10:$F$21,2,FALSE)="ME",HLOOKUP(F12,Partenaires!$B$10:$F$21,2,FALSE)="PE"),20%*U12,IF(HLOOKUP(F12,Partenaires!$B$10:$F$21,2,FALSE)="ER 100%*coûts marginaux",4%*Z12+8%*SUM(W12,Y12,AB12:AD12),0))))</f>
        <v>2000</v>
      </c>
      <c r="Y12" s="43" t="str">
        <f>_xlfn.IFNA(IF(VLOOKUP(CONCATENATE($D12,$F12,$G12,Y$3),'Description des coûts'!$D$8:$M$1048576,5,FALSE)=Y$3,VLOOKUP(CONCATENATE($D12,$F12,$G12,Y$3),'Description des coûts'!$D$8:$M$1048576,9,FALSE),0),"")</f>
        <v/>
      </c>
      <c r="Z12" s="43">
        <f>_xlfn.IFNA(VLOOKUP(D12,Amortissements!$D$8:$O$1048576,8,FALSE),0)</f>
        <v>0</v>
      </c>
      <c r="AA12" s="43" t="str">
        <f>_xlfn.IFNA(IF(VLOOKUP(CONCATENATE($D12,$F12,$G12,AA$3),'Description des coûts'!$D$8:$M$1048576,5,FALSE)=AA$3,VLOOKUP(CONCATENATE($D12,$F12,$G12,AA$3),'Description des coûts'!$D$8:$M$1048576,9,FALSE),0),"")</f>
        <v/>
      </c>
      <c r="AB12" s="43" t="str">
        <f>_xlfn.IFNA(IF(VLOOKUP(CONCATENATE($D12,$F12,$G12,AB$3),'Description des coûts'!$D$8:$M$1048576,5,FALSE)=AB$3,VLOOKUP(CONCATENATE($D12,$F12,$G12,AB$3),'Description des coûts'!$D$8:$M$1048576,9,FALSE),0),"")</f>
        <v/>
      </c>
      <c r="AC12" s="43" t="str">
        <f>_xlfn.IFNA(IF(VLOOKUP(CONCATENATE($D12,$F12,$G12,AC$3),'Description des coûts'!$D$8:$M$1048576,5,FALSE)=AC$3,VLOOKUP(CONCATENATE($D12,$F12,$G12,AC$3),'Description des coûts'!$D$8:$M$1048576,9,FALSE),0),"")</f>
        <v/>
      </c>
      <c r="AD12" s="43" t="str">
        <f>_xlfn.IFNA(IF(VLOOKUP(CONCATENATE($D12,$F12,$G12,AD$3),'Description des coûts'!$D$8:$M$1048576,5,FALSE)=AD$3,VLOOKUP(CONCATENATE($D12,$F12,$G12,AD$3),'Description des coûts'!$D$8:$M$1048576,9,FALSE),0),"")</f>
        <v/>
      </c>
      <c r="AE12" s="36"/>
      <c r="AF12" s="190">
        <f t="shared" ref="AF12" si="29">U12+SUM(X12:AD12)</f>
        <v>12000</v>
      </c>
      <c r="AG12" s="35" t="s">
        <v>216</v>
      </c>
      <c r="AH12" s="191">
        <f>IF(F12="",0,IF(AG12="RI",N(HLOOKUP($F12,Partenaires!$B$10:$F$21,6,FALSE)),IF(AG12="DE",N(HLOOKUP($F12,Partenaires!$B$10:$F$21,7,FALSE)),IF(AG12="PE",N(HLOOKUP($F12,Partenaires!$B$10:$F$21,9,FALSE)),IF(AG12="RD",N(HLOOKUP($F12,Partenaires!$B$10:$F$21,8,FALSE)),0)))))</f>
        <v>0.5</v>
      </c>
      <c r="AI12" s="192">
        <f>IF(F12="",0,IF(OR(AG12="DE",AG12="NE",AG12="NR",AG12="PE"),0,IF(HLOOKUP(F12,Partenaires!$B$10:$F$21,2,FALSE)="ER 100%*coûts marginaux",AF12-V12,IF(AG12="RI",AF12,0))))</f>
        <v>0</v>
      </c>
      <c r="AJ12" s="192">
        <f t="shared" si="17"/>
        <v>12000</v>
      </c>
      <c r="AK12" s="192">
        <f t="shared" ref="AK12:AK43" si="30">IF(OR(AG12="RI",AG12="NE",AG12="NR",AG12="PE",AG12="DE"),0,IF(AG12="RD",AF12-V12,0))</f>
        <v>0</v>
      </c>
      <c r="AL12" s="192">
        <f t="shared" si="18"/>
        <v>0</v>
      </c>
      <c r="AM12" s="192">
        <f>IF(AG12="PE",AL12-(AL12*N(HLOOKUP($F12,Partenaires!$B$10:$F$21,9,FALSE))/N(HLOOKUP($F12,Partenaires!$B$10:$F$21,10,FALSE))),0)</f>
        <v>0</v>
      </c>
      <c r="AN12" s="192">
        <f t="shared" ref="AN12:AN43" si="31">AI12+AJ12+AM12+AK12</f>
        <v>12000</v>
      </c>
      <c r="AO12" s="192">
        <f t="shared" si="19"/>
        <v>0</v>
      </c>
      <c r="AP12" s="192">
        <f t="shared" si="20"/>
        <v>0</v>
      </c>
      <c r="AQ12" s="192">
        <f t="shared" si="21"/>
        <v>0</v>
      </c>
      <c r="AR12" s="192">
        <f t="shared" si="22"/>
        <v>0</v>
      </c>
      <c r="AS12" s="192">
        <f t="shared" ref="AS12" si="32">AU12-AT12</f>
        <v>3600</v>
      </c>
      <c r="AT12" s="192">
        <f>IF(F12="",0,$AU12*N(HLOOKUP($F12,Partenaires!$B$10:$F$21,5,FALSE)))</f>
        <v>2400</v>
      </c>
      <c r="AU12" s="192">
        <f t="shared" si="24"/>
        <v>6000</v>
      </c>
    </row>
    <row r="13" spans="1:47" ht="18" customHeight="1" x14ac:dyDescent="0.35">
      <c r="A13" s="35" t="s">
        <v>220</v>
      </c>
      <c r="B13" s="35">
        <v>1</v>
      </c>
      <c r="C13" s="35">
        <v>1</v>
      </c>
      <c r="D13" s="83" t="str">
        <f>CONCATENATE(A13,B13,C13)</f>
        <v>LOT 111</v>
      </c>
      <c r="E13" s="84" t="str">
        <f>IFERROR(VLOOKUP(D13,'Structure projet '!D:E,2,FALSE),"")</f>
        <v>Tache de RI</v>
      </c>
      <c r="F13" s="35" t="s">
        <v>218</v>
      </c>
      <c r="G13" s="35" t="s">
        <v>130</v>
      </c>
      <c r="H13" s="36"/>
      <c r="I13" s="36"/>
      <c r="J13" s="58"/>
      <c r="K13" s="58">
        <v>1</v>
      </c>
      <c r="L13" s="58"/>
      <c r="M13" s="58"/>
      <c r="N13" s="58"/>
      <c r="O13" s="189">
        <f t="shared" si="13"/>
        <v>1</v>
      </c>
      <c r="P13" s="43"/>
      <c r="Q13" s="43">
        <v>6000</v>
      </c>
      <c r="R13" s="43"/>
      <c r="S13" s="43"/>
      <c r="T13" s="43"/>
      <c r="U13" s="190">
        <f t="shared" si="14"/>
        <v>6000</v>
      </c>
      <c r="V13" s="162"/>
      <c r="W13" s="190">
        <f>IF(U13-V13=0,0,U13-V13)</f>
        <v>6000</v>
      </c>
      <c r="X13" s="190">
        <f>IF(F13="",0,IF(AG13="PE",0,IF(OR(HLOOKUP(F13,Partenaires!$B$10:$F$21,2,FALSE)="ER 50%*coûts complets",HLOOKUP(F13,Partenaires!$B$10:$F$21,2,FALSE)="GE",HLOOKUP(F13,Partenaires!$B$10:$F$21,2,FALSE)="ME",HLOOKUP(F13,Partenaires!$B$10:$F$21,2,FALSE)="PE"),20%*U13,IF(HLOOKUP(F13,Partenaires!$B$10:$F$21,2,FALSE)="ER 100%*coûts marginaux",4%*Z13+8%*SUM(W13,Y13,AB13:AD13),0))))</f>
        <v>1200</v>
      </c>
      <c r="Y13" s="43">
        <f>_xlfn.IFNA(IF(VLOOKUP(CONCATENATE($D13,$F13,$G13,Y$3),'Description des coûts'!$D$8:$M$1048576,5,FALSE)=Y$3,VLOOKUP(CONCATENATE($D13,$F13,$G13,Y$3),'Description des coûts'!$D$8:$M$1048576,9,FALSE),0),"")</f>
        <v>10000</v>
      </c>
      <c r="Z13" s="43">
        <f>_xlfn.IFNA(VLOOKUP(D13,Amortissements!$D$8:$O$1048576,8,FALSE),0)</f>
        <v>100000</v>
      </c>
      <c r="AA13" s="43" t="str">
        <f>_xlfn.IFNA(IF(VLOOKUP(CONCATENATE($D13,$F13,$G13,AA$3),'Description des coûts'!$D$8:$M$1048576,5,FALSE)=AA$3,VLOOKUP(CONCATENATE($D13,$F13,$G13,AA$3),'Description des coûts'!$D$8:$M$1048576,9,FALSE),0),"")</f>
        <v/>
      </c>
      <c r="AB13" s="43" t="str">
        <f>_xlfn.IFNA(IF(VLOOKUP(CONCATENATE($D13,$F13,$G13,AB$3),'Description des coûts'!$D$8:$M$1048576,5,FALSE)=AB$3,VLOOKUP(CONCATENATE($D13,$F13,$G13,AB$3),'Description des coûts'!$D$8:$M$1048576,9,FALSE),0),"")</f>
        <v/>
      </c>
      <c r="AC13" s="43" t="str">
        <f>_xlfn.IFNA(IF(VLOOKUP(CONCATENATE($D13,$F13,$G13,AC$3),'Description des coûts'!$D$8:$M$1048576,5,FALSE)=AC$3,VLOOKUP(CONCATENATE($D13,$F13,$G13,AC$3),'Description des coûts'!$D$8:$M$1048576,9,FALSE),0),"")</f>
        <v/>
      </c>
      <c r="AD13" s="43" t="str">
        <f>_xlfn.IFNA(IF(VLOOKUP(CONCATENATE($D13,$F13,$G13,AD$3),'Description des coûts'!$D$8:$M$1048576,5,FALSE)=AD$3,VLOOKUP(CONCATENATE($D13,$F13,$G13,AD$3),'Description des coûts'!$D$8:$M$1048576,9,FALSE),0),"")</f>
        <v/>
      </c>
      <c r="AE13" s="36"/>
      <c r="AF13" s="190">
        <f>U13+SUM(X13:AD13)</f>
        <v>117200</v>
      </c>
      <c r="AG13" s="35" t="s">
        <v>217</v>
      </c>
      <c r="AH13" s="191">
        <f>IF(F13="",0,IF(AG13="RI",N(HLOOKUP($F13,Partenaires!$B$10:$F$21,6,FALSE)),IF(AG13="DE",N(HLOOKUP($F13,Partenaires!$B$10:$F$21,7,FALSE)),IF(AG13="PE",N(HLOOKUP($F13,Partenaires!$B$10:$F$21,9,FALSE)),IF(AG13="RD",N(HLOOKUP($F13,Partenaires!$B$10:$F$21,8,FALSE)),0)))))</f>
        <v>0.75</v>
      </c>
      <c r="AI13" s="192">
        <f>IF(F13="",0,IF(OR(AG13="DE",AG13="NE",AG13="NR",AG13="PE"),0,IF(HLOOKUP(F13,Partenaires!$B$10:$F$21,2,FALSE)="ER 100%*coûts marginaux",AF13-V13,IF(AG13="RI",AF13,0))))</f>
        <v>117200</v>
      </c>
      <c r="AJ13" s="192">
        <f t="shared" si="17"/>
        <v>0</v>
      </c>
      <c r="AK13" s="192">
        <f t="shared" si="30"/>
        <v>0</v>
      </c>
      <c r="AL13" s="192">
        <f t="shared" si="18"/>
        <v>0</v>
      </c>
      <c r="AM13" s="192">
        <f>IF(AG13="PE",AL13-(AL13*N(HLOOKUP($F13,Partenaires!$B$10:$F$21,9,FALSE))/N(HLOOKUP($F13,Partenaires!$B$10:$F$21,10,FALSE))),0)</f>
        <v>0</v>
      </c>
      <c r="AN13" s="192">
        <f t="shared" si="31"/>
        <v>117200</v>
      </c>
      <c r="AO13" s="192">
        <f t="shared" si="19"/>
        <v>0</v>
      </c>
      <c r="AP13" s="192">
        <f t="shared" si="20"/>
        <v>0</v>
      </c>
      <c r="AQ13" s="192">
        <f t="shared" si="21"/>
        <v>0</v>
      </c>
      <c r="AR13" s="192">
        <f t="shared" si="22"/>
        <v>0</v>
      </c>
      <c r="AS13" s="192">
        <f>AU13-AT13</f>
        <v>52740</v>
      </c>
      <c r="AT13" s="192">
        <f>IF(F13="",0,$AU13*N(HLOOKUP($F13,Partenaires!$B$10:$F$21,5,FALSE)))</f>
        <v>35160</v>
      </c>
      <c r="AU13" s="192">
        <f t="shared" si="24"/>
        <v>87900</v>
      </c>
    </row>
    <row r="14" spans="1:47" ht="18" customHeight="1" x14ac:dyDescent="0.35">
      <c r="A14" s="35" t="s">
        <v>220</v>
      </c>
      <c r="B14" s="35">
        <v>1</v>
      </c>
      <c r="C14" s="35">
        <v>1</v>
      </c>
      <c r="D14" s="83" t="str">
        <f>CONCATENATE(A14,B14,C14)</f>
        <v>LOT 111</v>
      </c>
      <c r="E14" s="84" t="str">
        <f>IFERROR(VLOOKUP(D14,'Structure projet '!D:E,2,FALSE),"")</f>
        <v>Tache de RI</v>
      </c>
      <c r="F14" s="35" t="s">
        <v>218</v>
      </c>
      <c r="G14" s="35" t="s">
        <v>197</v>
      </c>
      <c r="H14" s="36"/>
      <c r="I14" s="36"/>
      <c r="J14" s="58"/>
      <c r="K14" s="58">
        <v>1</v>
      </c>
      <c r="L14" s="58"/>
      <c r="M14" s="58"/>
      <c r="N14" s="58"/>
      <c r="O14" s="189">
        <f t="shared" si="13"/>
        <v>1</v>
      </c>
      <c r="P14" s="43"/>
      <c r="Q14" s="43">
        <v>6000</v>
      </c>
      <c r="R14" s="43"/>
      <c r="S14" s="43"/>
      <c r="T14" s="43"/>
      <c r="U14" s="190">
        <f t="shared" si="14"/>
        <v>6000</v>
      </c>
      <c r="V14" s="162"/>
      <c r="W14" s="190">
        <f>IF(U14-V14=0,0,U14-V14)</f>
        <v>6000</v>
      </c>
      <c r="X14" s="190">
        <f>IF(F14="",0,IF(AG14="PE",0,IF(OR(HLOOKUP(F14,Partenaires!$B$10:$F$21,2,FALSE)="ER 50%*coûts complets",HLOOKUP(F14,Partenaires!$B$10:$F$21,2,FALSE)="GE",HLOOKUP(F14,Partenaires!$B$10:$F$21,2,FALSE)="ME",HLOOKUP(F14,Partenaires!$B$10:$F$21,2,FALSE)="PE"),20%*U14,IF(HLOOKUP(F14,Partenaires!$B$10:$F$21,2,FALSE)="ER 100%*coûts marginaux",4%*Z14+8%*SUM(W14,Y14,AB14:AD14),0))))</f>
        <v>1200</v>
      </c>
      <c r="Y14" s="43" t="str">
        <f>_xlfn.IFNA(IF(VLOOKUP(CONCATENATE($D14,$F14,$G14,Y$3),'Description des coûts'!$D$8:$M$1048576,5,FALSE)=Y$3,VLOOKUP(CONCATENATE($D14,$F14,$G14,Y$3),'Description des coûts'!$D$8:$M$1048576,9,FALSE),0),"")</f>
        <v/>
      </c>
      <c r="Z14" s="43">
        <f>_xlfn.IFNA(VLOOKUP(D14,Amortissements!$D$8:$O$1048576,8,FALSE),0)</f>
        <v>100000</v>
      </c>
      <c r="AA14" s="43" t="str">
        <f>_xlfn.IFNA(IF(VLOOKUP(CONCATENATE($D14,$F14,$G14,AA$3),'Description des coûts'!$D$8:$M$1048576,5,FALSE)=AA$3,VLOOKUP(CONCATENATE($D14,$F14,$G14,AA$3),'Description des coûts'!$D$8:$M$1048576,9,FALSE),0),"")</f>
        <v/>
      </c>
      <c r="AB14" s="43" t="str">
        <f>_xlfn.IFNA(IF(VLOOKUP(CONCATENATE($D14,$F14,$G14,AB$3),'Description des coûts'!$D$8:$M$1048576,5,FALSE)=AB$3,VLOOKUP(CONCATENATE($D14,$F14,$G14,AB$3),'Description des coûts'!$D$8:$M$1048576,9,FALSE),0),"")</f>
        <v/>
      </c>
      <c r="AC14" s="43" t="str">
        <f>_xlfn.IFNA(IF(VLOOKUP(CONCATENATE($D14,$F14,$G14,AC$3),'Description des coûts'!$D$8:$M$1048576,5,FALSE)=AC$3,VLOOKUP(CONCATENATE($D14,$F14,$G14,AC$3),'Description des coûts'!$D$8:$M$1048576,9,FALSE),0),"")</f>
        <v/>
      </c>
      <c r="AD14" s="43" t="str">
        <f>_xlfn.IFNA(IF(VLOOKUP(CONCATENATE($D14,$F14,$G14,AD$3),'Description des coûts'!$D$8:$M$1048576,5,FALSE)=AD$3,VLOOKUP(CONCATENATE($D14,$F14,$G14,AD$3),'Description des coûts'!$D$8:$M$1048576,9,FALSE),0),"")</f>
        <v/>
      </c>
      <c r="AE14" s="36"/>
      <c r="AF14" s="190">
        <f>U14+SUM(X14:AD14)</f>
        <v>107200</v>
      </c>
      <c r="AG14" s="35" t="s">
        <v>217</v>
      </c>
      <c r="AH14" s="191">
        <f>IF(F14="",0,IF(AG14="RI",N(HLOOKUP($F14,Partenaires!$B$10:$F$21,6,FALSE)),IF(AG14="DE",N(HLOOKUP($F14,Partenaires!$B$10:$F$21,7,FALSE)),IF(AG14="PE",N(HLOOKUP($F14,Partenaires!$B$10:$F$21,9,FALSE)),IF(AG14="RD",N(HLOOKUP($F14,Partenaires!$B$10:$F$21,8,FALSE)),0)))))</f>
        <v>0.75</v>
      </c>
      <c r="AI14" s="192">
        <f>IF(F14="",0,IF(OR(AG14="DE",AG14="NE",AG14="NR",AG14="PE"),0,IF(HLOOKUP(F14,Partenaires!$B$10:$F$21,2,FALSE)="ER 100%*coûts marginaux",AF14-V14,IF(AG14="RI",AF14,0))))</f>
        <v>107200</v>
      </c>
      <c r="AJ14" s="192">
        <f t="shared" si="17"/>
        <v>0</v>
      </c>
      <c r="AK14" s="192">
        <f t="shared" si="30"/>
        <v>0</v>
      </c>
      <c r="AL14" s="192">
        <f t="shared" si="18"/>
        <v>0</v>
      </c>
      <c r="AM14" s="192">
        <f>IF(AG14="PE",AL14-(AL14*N(HLOOKUP($F14,Partenaires!$B$10:$F$21,9,FALSE))/N(HLOOKUP($F14,Partenaires!$B$10:$F$21,10,FALSE))),0)</f>
        <v>0</v>
      </c>
      <c r="AN14" s="192">
        <f t="shared" si="31"/>
        <v>107200</v>
      </c>
      <c r="AO14" s="192">
        <f t="shared" si="19"/>
        <v>0</v>
      </c>
      <c r="AP14" s="192">
        <f t="shared" si="20"/>
        <v>0</v>
      </c>
      <c r="AQ14" s="192">
        <f t="shared" si="21"/>
        <v>0</v>
      </c>
      <c r="AR14" s="192">
        <f t="shared" si="22"/>
        <v>0</v>
      </c>
      <c r="AS14" s="192">
        <f>AU14-AT14</f>
        <v>48240</v>
      </c>
      <c r="AT14" s="192">
        <f>IF(F14="",0,$AU14*N(HLOOKUP($F14,Partenaires!$B$10:$F$21,5,FALSE)))</f>
        <v>32160</v>
      </c>
      <c r="AU14" s="192">
        <f t="shared" si="24"/>
        <v>80400</v>
      </c>
    </row>
    <row r="15" spans="1:47" ht="18" customHeight="1" x14ac:dyDescent="0.35">
      <c r="A15" s="35" t="s">
        <v>222</v>
      </c>
      <c r="B15" s="35">
        <v>1</v>
      </c>
      <c r="C15" s="35">
        <v>1</v>
      </c>
      <c r="D15" s="83" t="str">
        <f t="shared" si="12"/>
        <v>LOT 211</v>
      </c>
      <c r="E15" s="84" t="str">
        <f>IFERROR(VLOOKUP(D15,'Structure projet '!D:E,2,FALSE),"")</f>
        <v>Tache de RD</v>
      </c>
      <c r="F15" s="35" t="s">
        <v>218</v>
      </c>
      <c r="G15" s="35" t="s">
        <v>130</v>
      </c>
      <c r="H15" s="36"/>
      <c r="I15" s="36"/>
      <c r="J15" s="58"/>
      <c r="K15" s="58"/>
      <c r="L15" s="58"/>
      <c r="M15" s="58"/>
      <c r="N15" s="58"/>
      <c r="O15" s="189">
        <f t="shared" si="13"/>
        <v>0</v>
      </c>
      <c r="P15" s="43"/>
      <c r="Q15" s="43"/>
      <c r="R15" s="43"/>
      <c r="S15" s="43"/>
      <c r="T15" s="43"/>
      <c r="U15" s="190">
        <f t="shared" si="14"/>
        <v>0</v>
      </c>
      <c r="V15" s="162"/>
      <c r="W15" s="190">
        <f t="shared" ref="W15:W43" si="33">IF(U15-V15=0,0,U15-V15)</f>
        <v>0</v>
      </c>
      <c r="X15" s="190">
        <f>IF(F15="",0,IF(AG15="PE",0,IF(OR(HLOOKUP(F15,Partenaires!$B$10:$F$21,2,FALSE)="ER 50%*coûts complets",HLOOKUP(F15,Partenaires!$B$10:$F$21,2,FALSE)="GE",HLOOKUP(F15,Partenaires!$B$10:$F$21,2,FALSE)="ME",HLOOKUP(F15,Partenaires!$B$10:$F$21,2,FALSE)="PE"),20%*U15,IF(HLOOKUP(F15,Partenaires!$B$10:$F$21,2,FALSE)="ER 100%*coûts marginaux",4%*Z15+8%*SUM(W15,Y15,AB15:AD15),0))))</f>
        <v>0</v>
      </c>
      <c r="Y15" s="43" t="str">
        <f>_xlfn.IFNA(IF(VLOOKUP(CONCATENATE($D15,$F15,$G15,Y$3),'Description des coûts'!$D$8:$M$1048576,5,FALSE)=Y$3,VLOOKUP(CONCATENATE($D15,$F15,$G15,Y$3),'Description des coûts'!$D$8:$M$1048576,9,FALSE),0),"")</f>
        <v/>
      </c>
      <c r="Z15" s="43">
        <f>_xlfn.IFNA(VLOOKUP(D15,Amortissements!$D$8:$O$1048576,8,FALSE),0)</f>
        <v>0</v>
      </c>
      <c r="AA15" s="43">
        <f>_xlfn.IFNA(IF(VLOOKUP(CONCATENATE($D15,$F15,$G15,AA$3),'Description des coûts'!$D$8:$M$1048576,5,FALSE)=AA$3,VLOOKUP(CONCATENATE($D15,$F15,$G15,AA$3),'Description des coûts'!$D$8:$M$1048576,9,FALSE),0),"")</f>
        <v>100000</v>
      </c>
      <c r="AB15" s="43" t="str">
        <f>_xlfn.IFNA(IF(VLOOKUP(CONCATENATE($D15,$F15,$G15,AB$3),'Description des coûts'!$D$8:$M$1048576,5,FALSE)=AB$3,VLOOKUP(CONCATENATE($D15,$F15,$G15,AB$3),'Description des coûts'!$D$8:$M$1048576,9,FALSE),0),"")</f>
        <v/>
      </c>
      <c r="AC15" s="43" t="str">
        <f>_xlfn.IFNA(IF(VLOOKUP(CONCATENATE($D15,$F15,$G15,AC$3),'Description des coûts'!$D$8:$M$1048576,5,FALSE)=AC$3,VLOOKUP(CONCATENATE($D15,$F15,$G15,AC$3),'Description des coûts'!$D$8:$M$1048576,9,FALSE),0),"")</f>
        <v/>
      </c>
      <c r="AD15" s="43" t="str">
        <f>_xlfn.IFNA(IF(VLOOKUP(CONCATENATE($D15,$F15,$G15,AD$3),'Description des coûts'!$D$8:$M$1048576,5,FALSE)=AD$3,VLOOKUP(CONCATENATE($D15,$F15,$G15,AD$3),'Description des coûts'!$D$8:$M$1048576,9,FALSE),0),"")</f>
        <v/>
      </c>
      <c r="AE15" s="36"/>
      <c r="AF15" s="190">
        <f t="shared" ref="AF15:AF43" si="34">U15+SUM(X15:AD15)</f>
        <v>100000</v>
      </c>
      <c r="AG15" s="35" t="s">
        <v>287</v>
      </c>
      <c r="AH15" s="191">
        <f>IF(F15="",0,IF(AG15="RI",N(HLOOKUP($F15,Partenaires!$B$10:$F$21,6,FALSE)),IF(AG15="DE",N(HLOOKUP($F15,Partenaires!$B$10:$F$21,7,FALSE)),IF(AG15="PE",N(HLOOKUP($F15,Partenaires!$B$10:$F$21,9,FALSE)),IF(AG15="RD",N(HLOOKUP($F15,Partenaires!$B$10:$F$21,8,FALSE)),0)))))</f>
        <v>0.25</v>
      </c>
      <c r="AI15" s="192">
        <f>IF(F15="",0,IF(OR(AG15="DE",AG15="NE",AG15="NR",AG15="PE"),0,IF(HLOOKUP(F15,Partenaires!$B$10:$F$21,2,FALSE)="ER 100%*coûts marginaux",AF15-V15,IF(AG15="RI",AF15,0))))</f>
        <v>0</v>
      </c>
      <c r="AJ15" s="192">
        <f t="shared" si="17"/>
        <v>0</v>
      </c>
      <c r="AK15" s="192">
        <f t="shared" si="30"/>
        <v>100000</v>
      </c>
      <c r="AL15" s="192">
        <f t="shared" si="18"/>
        <v>0</v>
      </c>
      <c r="AM15" s="192">
        <f>IF(AG15="PE",AL15-(AL15*N(HLOOKUP($F15,Partenaires!$B$10:$F$21,9,FALSE))/N(HLOOKUP($F15,Partenaires!$B$10:$F$21,10,FALSE))),0)</f>
        <v>0</v>
      </c>
      <c r="AN15" s="192">
        <f t="shared" si="31"/>
        <v>100000</v>
      </c>
      <c r="AO15" s="192">
        <f t="shared" si="19"/>
        <v>0</v>
      </c>
      <c r="AP15" s="192">
        <f t="shared" si="20"/>
        <v>0</v>
      </c>
      <c r="AQ15" s="192">
        <f t="shared" si="21"/>
        <v>0</v>
      </c>
      <c r="AR15" s="192">
        <f t="shared" si="22"/>
        <v>0</v>
      </c>
      <c r="AS15" s="192">
        <f t="shared" ref="AS15:AS43" si="35">AU15-AT15</f>
        <v>15000</v>
      </c>
      <c r="AT15" s="192">
        <f>IF(F15="",0,$AU15*N(HLOOKUP($F15,Partenaires!$B$10:$F$21,5,FALSE)))</f>
        <v>10000</v>
      </c>
      <c r="AU15" s="192">
        <f t="shared" si="24"/>
        <v>25000</v>
      </c>
    </row>
    <row r="16" spans="1:47" ht="18" customHeight="1" x14ac:dyDescent="0.35">
      <c r="A16" s="35" t="s">
        <v>271</v>
      </c>
      <c r="B16" s="35">
        <v>1</v>
      </c>
      <c r="C16" s="35">
        <v>1</v>
      </c>
      <c r="D16" s="83" t="str">
        <f t="shared" si="12"/>
        <v>LOT 311</v>
      </c>
      <c r="E16" s="84" t="str">
        <f>IFERROR(VLOOKUP(D16,'Structure projet '!D:E,2,FALSE),"")</f>
        <v>Tache de PE</v>
      </c>
      <c r="F16" s="35" t="s">
        <v>218</v>
      </c>
      <c r="G16" s="35" t="s">
        <v>197</v>
      </c>
      <c r="H16" s="36"/>
      <c r="I16" s="36"/>
      <c r="J16" s="58"/>
      <c r="K16" s="58"/>
      <c r="L16" s="58"/>
      <c r="M16" s="58"/>
      <c r="N16" s="58"/>
      <c r="O16" s="189">
        <f t="shared" si="13"/>
        <v>0</v>
      </c>
      <c r="P16" s="43"/>
      <c r="Q16" s="43"/>
      <c r="R16" s="43"/>
      <c r="S16" s="43"/>
      <c r="T16" s="43"/>
      <c r="U16" s="190">
        <f t="shared" si="14"/>
        <v>0</v>
      </c>
      <c r="V16" s="162"/>
      <c r="W16" s="190">
        <f t="shared" si="33"/>
        <v>0</v>
      </c>
      <c r="X16" s="190">
        <f>IF(F16="",0,IF(AG16="PE",0,IF(OR(HLOOKUP(F16,Partenaires!$B$10:$F$21,2,FALSE)="ER 50%*coûts complets",HLOOKUP(F16,Partenaires!$B$10:$F$21,2,FALSE)="GE",HLOOKUP(F16,Partenaires!$B$10:$F$21,2,FALSE)="ME",HLOOKUP(F16,Partenaires!$B$10:$F$21,2,FALSE)="PE"),20%*U16,IF(HLOOKUP(F16,Partenaires!$B$10:$F$21,2,FALSE)="ER 100%*coûts marginaux",4%*Z16+8%*SUM(W16,Y16,AB16:AD16),0))))</f>
        <v>0</v>
      </c>
      <c r="Y16" s="43" t="str">
        <f>_xlfn.IFNA(IF(VLOOKUP(CONCATENATE($D16,$F16,$G16,Y$3),'Description des coûts'!$D$8:$M$1048576,5,FALSE)=Y$3,VLOOKUP(CONCATENATE($D16,$F16,$G16,Y$3),'Description des coûts'!$D$8:$M$1048576,9,FALSE),0),"")</f>
        <v/>
      </c>
      <c r="Z16" s="43">
        <f>_xlfn.IFNA(VLOOKUP(D16,Amortissements!$D$8:$O$1048576,8,FALSE),0)</f>
        <v>0</v>
      </c>
      <c r="AA16" s="43" t="str">
        <f>_xlfn.IFNA(IF(VLOOKUP(CONCATENATE($D16,$F16,$G16,AA$3),'Description des coûts'!$D$8:$M$1048576,5,FALSE)=AA$3,VLOOKUP(CONCATENATE($D16,$F16,$G16,AA$3),'Description des coûts'!$D$8:$M$1048576,9,FALSE),0),"")</f>
        <v/>
      </c>
      <c r="AB16" s="43" t="str">
        <f>_xlfn.IFNA(IF(VLOOKUP(CONCATENATE($D16,$F16,$G16,AB$3),'Description des coûts'!$D$8:$M$1048576,5,FALSE)=AB$3,VLOOKUP(CONCATENATE($D16,$F16,$G16,AB$3),'Description des coûts'!$D$8:$M$1048576,9,FALSE),0),"")</f>
        <v/>
      </c>
      <c r="AC16" s="43" t="str">
        <f>_xlfn.IFNA(IF(VLOOKUP(CONCATENATE($D16,$F16,$G16,AC$3),'Description des coûts'!$D$8:$M$1048576,5,FALSE)=AC$3,VLOOKUP(CONCATENATE($D16,$F16,$G16,AC$3),'Description des coûts'!$D$8:$M$1048576,9,FALSE),0),"")</f>
        <v/>
      </c>
      <c r="AD16" s="43">
        <f>_xlfn.IFNA(IF(VLOOKUP(CONCATENATE($D16,$F16,$G16,AD$3),'Description des coûts'!$D$8:$M$1048576,5,FALSE)=AD$3,VLOOKUP(CONCATENATE($D16,$F16,$G16,AD$3),'Description des coûts'!$D$8:$M$1048576,9,FALSE),0),"")</f>
        <v>100000</v>
      </c>
      <c r="AE16" s="36"/>
      <c r="AF16" s="190">
        <f t="shared" si="34"/>
        <v>100000</v>
      </c>
      <c r="AG16" s="35" t="s">
        <v>75</v>
      </c>
      <c r="AH16" s="191">
        <f>IF(F16="",0,IF(AG16="RI",N(HLOOKUP($F16,Partenaires!$B$10:$F$21,6,FALSE)),IF(AG16="DE",N(HLOOKUP($F16,Partenaires!$B$10:$F$21,7,FALSE)),IF(AG16="RD",N(HLOOKUP($F16,Partenaires!$B$10:$F$21,8,FALSE)),IF(AG16="PE",N(HLOOKUP($F16,Partenaires!$B$10:$F$21,9,FALSE)),0)))))</f>
        <v>0.5</v>
      </c>
      <c r="AI16" s="192">
        <f>IF(F16="",0,IF(OR(AG16="DE",AG16="NE",AG16="NR",AG16="PE"),0,IF(HLOOKUP(F16,Partenaires!$B$10:$F$21,2,FALSE)="ER 100%*coûts marginaux",AF16-V16,IF(AG16="RI",AF16,0))))</f>
        <v>0</v>
      </c>
      <c r="AJ16" s="192">
        <f t="shared" si="17"/>
        <v>0</v>
      </c>
      <c r="AK16" s="192">
        <f t="shared" si="30"/>
        <v>0</v>
      </c>
      <c r="AL16" s="192">
        <f t="shared" si="18"/>
        <v>100000</v>
      </c>
      <c r="AM16" s="192">
        <f>IF(AG16="PE",AL16-(AL16*N(HLOOKUP($F16,Partenaires!$B$10:$F$21,9,FALSE))/N(HLOOKUP($F16,Partenaires!$B$10:$F$21,10,FALSE))),0)</f>
        <v>99950</v>
      </c>
      <c r="AN16" s="192">
        <f t="shared" si="31"/>
        <v>99950</v>
      </c>
      <c r="AO16" s="192">
        <f t="shared" si="19"/>
        <v>0</v>
      </c>
      <c r="AP16" s="192">
        <f t="shared" si="20"/>
        <v>0</v>
      </c>
      <c r="AQ16" s="192">
        <f t="shared" si="21"/>
        <v>50</v>
      </c>
      <c r="AR16" s="192">
        <f t="shared" si="22"/>
        <v>50</v>
      </c>
      <c r="AS16" s="192">
        <f t="shared" si="35"/>
        <v>29985</v>
      </c>
      <c r="AT16" s="192">
        <f>IF(F16="",0,$AU16*N(HLOOKUP($F16,Partenaires!$B$10:$F$21,5,FALSE)))</f>
        <v>19990</v>
      </c>
      <c r="AU16" s="192">
        <f t="shared" si="24"/>
        <v>49975</v>
      </c>
    </row>
    <row r="17" spans="1:47" ht="18" customHeight="1" x14ac:dyDescent="0.35">
      <c r="A17" s="35"/>
      <c r="B17" s="35"/>
      <c r="C17" s="35"/>
      <c r="D17" s="83" t="str">
        <f t="shared" si="12"/>
        <v/>
      </c>
      <c r="E17" s="84">
        <f>IFERROR(VLOOKUP(D17,'Structure projet '!D:E,2,FALSE),"")</f>
        <v>0</v>
      </c>
      <c r="F17" s="35"/>
      <c r="G17" s="35"/>
      <c r="H17" s="36"/>
      <c r="I17" s="36"/>
      <c r="J17" s="58"/>
      <c r="K17" s="58"/>
      <c r="L17" s="58"/>
      <c r="M17" s="58"/>
      <c r="N17" s="58"/>
      <c r="O17" s="189">
        <f t="shared" si="13"/>
        <v>0</v>
      </c>
      <c r="P17" s="43"/>
      <c r="Q17" s="43"/>
      <c r="R17" s="43"/>
      <c r="S17" s="43"/>
      <c r="T17" s="43"/>
      <c r="U17" s="190">
        <f t="shared" si="14"/>
        <v>0</v>
      </c>
      <c r="V17" s="162"/>
      <c r="W17" s="190">
        <f t="shared" si="33"/>
        <v>0</v>
      </c>
      <c r="X17" s="190">
        <f>IF(F17="",0,IF(AG17="PE",0,IF(OR(HLOOKUP(F17,Partenaires!$B$10:$F$21,2,FALSE)="ER 50%*coûts complets",HLOOKUP(F17,Partenaires!$B$10:$F$21,2,FALSE)="GE",HLOOKUP(F17,Partenaires!$B$10:$F$21,2,FALSE)="ME",HLOOKUP(F17,Partenaires!$B$10:$F$21,2,FALSE)="PE"),20%*U17,IF(HLOOKUP(F17,Partenaires!$B$10:$F$21,2,FALSE)="ER 100%*coûts marginaux",4%*Z17+8%*SUM(W17,Y17,AB17:AD17),0))))</f>
        <v>0</v>
      </c>
      <c r="Y17" s="43" t="str">
        <f>_xlfn.IFNA(IF(VLOOKUP(CONCATENATE($D17,$F17,$G17,Y$3),'Description des coûts'!$D$8:$M$1048576,5,FALSE)=Y$3,VLOOKUP(CONCATENATE($D17,$F17,$G17,Y$3),'Description des coûts'!$D$8:$M$1048576,9,FALSE),0),"")</f>
        <v/>
      </c>
      <c r="Z17" s="43" t="str">
        <f>_xlfn.IFNA(VLOOKUP(D17,Amortissements!$D$8:$O$1048576,8,FALSE),0)</f>
        <v/>
      </c>
      <c r="AA17" s="43" t="str">
        <f>_xlfn.IFNA(IF(VLOOKUP(CONCATENATE($D17,$F17,$G17,AA$3),'Description des coûts'!$D$8:$M$1048576,5,FALSE)=AA$3,VLOOKUP(CONCATENATE($D17,$F17,$G17,AA$3),'Description des coûts'!$D$8:$M$1048576,9,FALSE),0),"")</f>
        <v/>
      </c>
      <c r="AB17" s="43" t="str">
        <f>_xlfn.IFNA(IF(VLOOKUP(CONCATENATE($D17,$F17,$G17,AB$3),'Description des coûts'!$D$8:$M$1048576,5,FALSE)=AB$3,VLOOKUP(CONCATENATE($D17,$F17,$G17,AB$3),'Description des coûts'!$D$8:$M$1048576,9,FALSE),0),"")</f>
        <v/>
      </c>
      <c r="AC17" s="43" t="str">
        <f>_xlfn.IFNA(IF(VLOOKUP(CONCATENATE($D17,$F17,$G17,AC$3),'Description des coûts'!$D$8:$M$1048576,5,FALSE)=AC$3,VLOOKUP(CONCATENATE($D17,$F17,$G17,AC$3),'Description des coûts'!$D$8:$M$1048576,9,FALSE),0),"")</f>
        <v/>
      </c>
      <c r="AD17" s="43" t="str">
        <f>_xlfn.IFNA(IF(VLOOKUP(CONCATENATE($D17,$F17,$G17,AD$3),'Description des coûts'!$D$8:$M$1048576,5,FALSE)=AD$3,VLOOKUP(CONCATENATE($D17,$F17,$G17,AD$3),'Description des coûts'!$D$8:$M$1048576,9,FALSE),0),"")</f>
        <v/>
      </c>
      <c r="AE17" s="36"/>
      <c r="AF17" s="190">
        <f t="shared" si="34"/>
        <v>0</v>
      </c>
      <c r="AG17" s="35"/>
      <c r="AH17" s="191">
        <f>IF(F17="",0,IF(AG17="RI",N(HLOOKUP($F17,Partenaires!$B$10:$F$21,6,FALSE)),IF(AG17="DE",N(HLOOKUP($F17,Partenaires!$B$10:$F$21,7,FALSE)),IF(AG17="PE",N(HLOOKUP($F17,Partenaires!$B$10:$F$21,9,FALSE)),IF(AG17="RD",N(HLOOKUP($F17,Partenaires!$B$10:$F$21,8,FALSE)),0)))))</f>
        <v>0</v>
      </c>
      <c r="AI17" s="192">
        <f>IF(F17="",0,IF(OR(AG17="DE",AG17="NE",AG17="NR",AG17="PE"),0,IF(HLOOKUP(F17,Partenaires!$B$10:$F$21,2,FALSE)="ER 100%*coûts marginaux",AF17-V17,IF(AG17="RI",AF17,0))))</f>
        <v>0</v>
      </c>
      <c r="AJ17" s="192">
        <f t="shared" si="17"/>
        <v>0</v>
      </c>
      <c r="AK17" s="192">
        <f t="shared" si="30"/>
        <v>0</v>
      </c>
      <c r="AL17" s="192">
        <f t="shared" si="18"/>
        <v>0</v>
      </c>
      <c r="AM17" s="192">
        <f>IF(AG17="PE",AL17-(AL17*N(HLOOKUP($F17,Partenaires!$B$10:$F$21,9,FALSE))/N(HLOOKUP($F17,Partenaires!$B$10:$F$21,10,FALSE))),0)</f>
        <v>0</v>
      </c>
      <c r="AN17" s="192">
        <f t="shared" si="31"/>
        <v>0</v>
      </c>
      <c r="AO17" s="192">
        <f t="shared" si="19"/>
        <v>0</v>
      </c>
      <c r="AP17" s="192">
        <f t="shared" si="20"/>
        <v>0</v>
      </c>
      <c r="AQ17" s="192">
        <f t="shared" si="21"/>
        <v>0</v>
      </c>
      <c r="AR17" s="192">
        <f t="shared" si="22"/>
        <v>0</v>
      </c>
      <c r="AS17" s="192">
        <f t="shared" si="35"/>
        <v>0</v>
      </c>
      <c r="AT17" s="192">
        <f>IF(F17="",0,$AU17*N(HLOOKUP($F17,Partenaires!$B$10:$F$21,5,FALSE)))</f>
        <v>0</v>
      </c>
      <c r="AU17" s="192">
        <f t="shared" si="24"/>
        <v>0</v>
      </c>
    </row>
    <row r="18" spans="1:47" ht="18" customHeight="1" x14ac:dyDescent="0.35">
      <c r="A18" s="35"/>
      <c r="B18" s="35"/>
      <c r="C18" s="35"/>
      <c r="D18" s="83" t="str">
        <f t="shared" si="12"/>
        <v/>
      </c>
      <c r="E18" s="84">
        <f>IFERROR(VLOOKUP(D18,'Structure projet '!D:E,2,FALSE),"")</f>
        <v>0</v>
      </c>
      <c r="F18" s="35"/>
      <c r="G18" s="35"/>
      <c r="H18" s="36"/>
      <c r="I18" s="36"/>
      <c r="J18" s="58"/>
      <c r="K18" s="58"/>
      <c r="L18" s="58"/>
      <c r="M18" s="58"/>
      <c r="N18" s="58"/>
      <c r="O18" s="189">
        <f t="shared" si="13"/>
        <v>0</v>
      </c>
      <c r="P18" s="43"/>
      <c r="Q18" s="43"/>
      <c r="R18" s="43"/>
      <c r="S18" s="43"/>
      <c r="T18" s="43"/>
      <c r="U18" s="190">
        <f t="shared" si="14"/>
        <v>0</v>
      </c>
      <c r="V18" s="162"/>
      <c r="W18" s="190">
        <f t="shared" si="33"/>
        <v>0</v>
      </c>
      <c r="X18" s="190">
        <f>IF(F18="",0,IF(AG18="PE",0,IF(OR(HLOOKUP(F18,Partenaires!$B$10:$F$21,2,FALSE)="ER 50%*coûts complets",HLOOKUP(F18,Partenaires!$B$10:$F$21,2,FALSE)="GE",HLOOKUP(F18,Partenaires!$B$10:$F$21,2,FALSE)="ME",HLOOKUP(F18,Partenaires!$B$10:$F$21,2,FALSE)="PE"),20%*U18,IF(HLOOKUP(F18,Partenaires!$B$10:$F$21,2,FALSE)="ER 100%*coûts marginaux",4%*Z18+8%*SUM(W18,Y18,AB18:AD18),0))))</f>
        <v>0</v>
      </c>
      <c r="Y18" s="43" t="str">
        <f>_xlfn.IFNA(IF(VLOOKUP(CONCATENATE($D18,$F18,$G18,Y$3),'Description des coûts'!$D$8:$M$1048576,5,FALSE)=Y$3,VLOOKUP(CONCATENATE($D18,$F18,$G18,Y$3),'Description des coûts'!$D$8:$M$1048576,9,FALSE),0),"")</f>
        <v/>
      </c>
      <c r="Z18" s="43" t="str">
        <f>_xlfn.IFNA(VLOOKUP(D18,Amortissements!$D$8:$O$1048576,8,FALSE),0)</f>
        <v/>
      </c>
      <c r="AA18" s="43" t="str">
        <f>_xlfn.IFNA(IF(VLOOKUP(CONCATENATE($D18,$F18,$G18,AA$3),'Description des coûts'!$D$8:$M$1048576,5,FALSE)=AA$3,VLOOKUP(CONCATENATE($D18,$F18,$G18,AA$3),'Description des coûts'!$D$8:$M$1048576,9,FALSE),0),"")</f>
        <v/>
      </c>
      <c r="AB18" s="43" t="str">
        <f>_xlfn.IFNA(IF(VLOOKUP(CONCATENATE($D18,$F18,$G18,AB$3),'Description des coûts'!$D$8:$M$1048576,5,FALSE)=AB$3,VLOOKUP(CONCATENATE($D18,$F18,$G18,AB$3),'Description des coûts'!$D$8:$M$1048576,9,FALSE),0),"")</f>
        <v/>
      </c>
      <c r="AC18" s="43" t="str">
        <f>_xlfn.IFNA(IF(VLOOKUP(CONCATENATE($D18,$F18,$G18,AC$3),'Description des coûts'!$D$8:$M$1048576,5,FALSE)=AC$3,VLOOKUP(CONCATENATE($D18,$F18,$G18,AC$3),'Description des coûts'!$D$8:$M$1048576,9,FALSE),0),"")</f>
        <v/>
      </c>
      <c r="AD18" s="43" t="str">
        <f>_xlfn.IFNA(IF(VLOOKUP(CONCATENATE($D18,$F18,$G18,AD$3),'Description des coûts'!$D$8:$M$1048576,5,FALSE)=AD$3,VLOOKUP(CONCATENATE($D18,$F18,$G18,AD$3),'Description des coûts'!$D$8:$M$1048576,9,FALSE),0),"")</f>
        <v/>
      </c>
      <c r="AE18" s="36"/>
      <c r="AF18" s="190">
        <f t="shared" si="34"/>
        <v>0</v>
      </c>
      <c r="AG18" s="35"/>
      <c r="AH18" s="191">
        <f>IF(F18="",0,IF(AG18="RI",N(HLOOKUP($F18,Partenaires!$B$10:$F$21,6,FALSE)),IF(AG18="DE",N(HLOOKUP($F18,Partenaires!$B$10:$F$21,7,FALSE)),IF(AG18="PE",N(HLOOKUP($F18,Partenaires!$B$10:$F$21,9,FALSE)),IF(AG18="RD",N(HLOOKUP($F18,Partenaires!$B$10:$F$21,8,FALSE)),0)))))</f>
        <v>0</v>
      </c>
      <c r="AI18" s="192">
        <f>IF(F18="",0,IF(OR(AG18="DE",AG18="NE",AG18="NR",AG18="PE"),0,IF(HLOOKUP(F18,Partenaires!$B$10:$F$21,2,FALSE)="ER 100%*coûts marginaux",AF18-V18,IF(AG18="RI",AF18,0))))</f>
        <v>0</v>
      </c>
      <c r="AJ18" s="192">
        <f t="shared" si="17"/>
        <v>0</v>
      </c>
      <c r="AK18" s="192">
        <f t="shared" si="30"/>
        <v>0</v>
      </c>
      <c r="AL18" s="192">
        <f t="shared" si="18"/>
        <v>0</v>
      </c>
      <c r="AM18" s="192">
        <f>IF(AG18="PE",AL18-(AL18*N(HLOOKUP($F18,Partenaires!$B$10:$F$21,9,FALSE))/N(HLOOKUP($F18,Partenaires!$B$10:$F$21,10,FALSE))),0)</f>
        <v>0</v>
      </c>
      <c r="AN18" s="192">
        <f t="shared" si="31"/>
        <v>0</v>
      </c>
      <c r="AO18" s="192">
        <f t="shared" si="19"/>
        <v>0</v>
      </c>
      <c r="AP18" s="192">
        <f t="shared" si="20"/>
        <v>0</v>
      </c>
      <c r="AQ18" s="192">
        <f t="shared" si="21"/>
        <v>0</v>
      </c>
      <c r="AR18" s="192">
        <f t="shared" si="22"/>
        <v>0</v>
      </c>
      <c r="AS18" s="192">
        <f t="shared" si="35"/>
        <v>0</v>
      </c>
      <c r="AT18" s="192">
        <f>IF(F18="",0,$AU18*N(HLOOKUP($F18,Partenaires!$B$10:$F$21,5,FALSE)))</f>
        <v>0</v>
      </c>
      <c r="AU18" s="192">
        <f t="shared" si="24"/>
        <v>0</v>
      </c>
    </row>
    <row r="19" spans="1:47" ht="18" customHeight="1" x14ac:dyDescent="0.35">
      <c r="A19" s="35"/>
      <c r="B19" s="35"/>
      <c r="C19" s="35"/>
      <c r="D19" s="83" t="str">
        <f t="shared" si="12"/>
        <v/>
      </c>
      <c r="E19" s="84">
        <f>IFERROR(VLOOKUP(D19,'Structure projet '!D:E,2,FALSE),"")</f>
        <v>0</v>
      </c>
      <c r="F19" s="35"/>
      <c r="G19" s="35"/>
      <c r="H19" s="36"/>
      <c r="I19" s="36"/>
      <c r="J19" s="58"/>
      <c r="K19" s="58"/>
      <c r="L19" s="58"/>
      <c r="M19" s="58"/>
      <c r="N19" s="58"/>
      <c r="O19" s="189">
        <f t="shared" si="13"/>
        <v>0</v>
      </c>
      <c r="P19" s="43"/>
      <c r="Q19" s="43"/>
      <c r="R19" s="43"/>
      <c r="S19" s="43"/>
      <c r="T19" s="43"/>
      <c r="U19" s="190">
        <f t="shared" si="14"/>
        <v>0</v>
      </c>
      <c r="V19" s="162"/>
      <c r="W19" s="190">
        <f t="shared" si="33"/>
        <v>0</v>
      </c>
      <c r="X19" s="190">
        <f>IF(F19="",0,IF(AG19="PE",0,IF(OR(HLOOKUP(F19,Partenaires!$B$10:$F$21,2,FALSE)="ER 50%*coûts complets",HLOOKUP(F19,Partenaires!$B$10:$F$21,2,FALSE)="GE",HLOOKUP(F19,Partenaires!$B$10:$F$21,2,FALSE)="ME",HLOOKUP(F19,Partenaires!$B$10:$F$21,2,FALSE)="PE"),20%*U19,IF(HLOOKUP(F19,Partenaires!$B$10:$F$21,2,FALSE)="ER 100%*coûts marginaux",4%*Z19+8%*SUM(W19,Y19,AB19:AD19),0))))</f>
        <v>0</v>
      </c>
      <c r="Y19" s="43" t="str">
        <f>_xlfn.IFNA(IF(VLOOKUP(CONCATENATE($D19,$F19,$G19,Y$3),'Description des coûts'!$D$8:$M$1048576,5,FALSE)=Y$3,VLOOKUP(CONCATENATE($D19,$F19,$G19,Y$3),'Description des coûts'!$D$8:$M$1048576,9,FALSE),0),"")</f>
        <v/>
      </c>
      <c r="Z19" s="43" t="str">
        <f>_xlfn.IFNA(VLOOKUP(D19,Amortissements!$D$8:$O$1048576,8,FALSE),0)</f>
        <v/>
      </c>
      <c r="AA19" s="43" t="str">
        <f>_xlfn.IFNA(IF(VLOOKUP(CONCATENATE($D19,$F19,$G19,AA$3),'Description des coûts'!$D$8:$M$1048576,5,FALSE)=AA$3,VLOOKUP(CONCATENATE($D19,$F19,$G19,AA$3),'Description des coûts'!$D$8:$M$1048576,9,FALSE),0),"")</f>
        <v/>
      </c>
      <c r="AB19" s="43" t="str">
        <f>_xlfn.IFNA(IF(VLOOKUP(CONCATENATE($D19,$F19,$G19,AB$3),'Description des coûts'!$D$8:$M$1048576,5,FALSE)=AB$3,VLOOKUP(CONCATENATE($D19,$F19,$G19,AB$3),'Description des coûts'!$D$8:$M$1048576,9,FALSE),0),"")</f>
        <v/>
      </c>
      <c r="AC19" s="43" t="str">
        <f>_xlfn.IFNA(IF(VLOOKUP(CONCATENATE($D19,$F19,$G19,AC$3),'Description des coûts'!$D$8:$M$1048576,5,FALSE)=AC$3,VLOOKUP(CONCATENATE($D19,$F19,$G19,AC$3),'Description des coûts'!$D$8:$M$1048576,9,FALSE),0),"")</f>
        <v/>
      </c>
      <c r="AD19" s="43" t="str">
        <f>_xlfn.IFNA(IF(VLOOKUP(CONCATENATE($D19,$F19,$G19,AD$3),'Description des coûts'!$D$8:$M$1048576,5,FALSE)=AD$3,VLOOKUP(CONCATENATE($D19,$F19,$G19,AD$3),'Description des coûts'!$D$8:$M$1048576,9,FALSE),0),"")</f>
        <v/>
      </c>
      <c r="AE19" s="36"/>
      <c r="AF19" s="190">
        <f t="shared" si="34"/>
        <v>0</v>
      </c>
      <c r="AG19" s="35"/>
      <c r="AH19" s="191">
        <f>IF(F19="",0,IF(AG19="RI",N(HLOOKUP($F19,Partenaires!$B$10:$F$21,6,FALSE)),IF(AG19="DE",N(HLOOKUP($F19,Partenaires!$B$10:$F$21,7,FALSE)),IF(AG19="PE",N(HLOOKUP($F19,Partenaires!$B$10:$F$21,9,FALSE)),IF(AG19="RD",N(HLOOKUP($F19,Partenaires!$B$10:$F$21,8,FALSE)),0)))))</f>
        <v>0</v>
      </c>
      <c r="AI19" s="192">
        <f>IF(F19="",0,IF(OR(AG19="DE",AG19="NE",AG19="NR",AG19="PE"),0,IF(HLOOKUP(F19,Partenaires!$B$10:$F$21,2,FALSE)="ER 100%*coûts marginaux",AF19-V19,IF(AG19="RI",AF19,0))))</f>
        <v>0</v>
      </c>
      <c r="AJ19" s="192">
        <f t="shared" si="17"/>
        <v>0</v>
      </c>
      <c r="AK19" s="192">
        <f t="shared" si="30"/>
        <v>0</v>
      </c>
      <c r="AL19" s="192">
        <f t="shared" si="18"/>
        <v>0</v>
      </c>
      <c r="AM19" s="192">
        <f>IF(AG19="PE",AL19-(AL19*N(HLOOKUP($F19,Partenaires!$B$10:$F$21,9,FALSE))/N(HLOOKUP($F19,Partenaires!$B$10:$F$21,10,FALSE))),0)</f>
        <v>0</v>
      </c>
      <c r="AN19" s="192">
        <f t="shared" si="31"/>
        <v>0</v>
      </c>
      <c r="AO19" s="192">
        <f t="shared" si="19"/>
        <v>0</v>
      </c>
      <c r="AP19" s="192">
        <f t="shared" si="20"/>
        <v>0</v>
      </c>
      <c r="AQ19" s="192">
        <f t="shared" si="21"/>
        <v>0</v>
      </c>
      <c r="AR19" s="192">
        <f t="shared" si="22"/>
        <v>0</v>
      </c>
      <c r="AS19" s="192">
        <f t="shared" si="35"/>
        <v>0</v>
      </c>
      <c r="AT19" s="192">
        <f>IF(F19="",0,$AU19*N(HLOOKUP($F19,Partenaires!$B$10:$F$21,5,FALSE)))</f>
        <v>0</v>
      </c>
      <c r="AU19" s="192">
        <f t="shared" si="24"/>
        <v>0</v>
      </c>
    </row>
    <row r="20" spans="1:47" ht="18" customHeight="1" x14ac:dyDescent="0.35">
      <c r="A20" s="35"/>
      <c r="B20" s="35"/>
      <c r="C20" s="35"/>
      <c r="D20" s="83" t="str">
        <f t="shared" si="12"/>
        <v/>
      </c>
      <c r="E20" s="84">
        <f>IFERROR(VLOOKUP(D20,'Structure projet '!D:E,2,FALSE),"")</f>
        <v>0</v>
      </c>
      <c r="F20" s="35"/>
      <c r="G20" s="35"/>
      <c r="H20" s="36"/>
      <c r="I20" s="36"/>
      <c r="J20" s="58"/>
      <c r="K20" s="58"/>
      <c r="L20" s="58"/>
      <c r="M20" s="58"/>
      <c r="N20" s="58"/>
      <c r="O20" s="189">
        <f t="shared" si="13"/>
        <v>0</v>
      </c>
      <c r="P20" s="43"/>
      <c r="Q20" s="43"/>
      <c r="R20" s="43"/>
      <c r="S20" s="43"/>
      <c r="T20" s="43"/>
      <c r="U20" s="190">
        <f t="shared" si="14"/>
        <v>0</v>
      </c>
      <c r="V20" s="162"/>
      <c r="W20" s="190">
        <f t="shared" si="33"/>
        <v>0</v>
      </c>
      <c r="X20" s="190">
        <f>IF(F20="",0,IF(AG20="PE",0,IF(OR(HLOOKUP(F20,Partenaires!$B$10:$F$21,2,FALSE)="ER 50%*coûts complets",HLOOKUP(F20,Partenaires!$B$10:$F$21,2,FALSE)="GE",HLOOKUP(F20,Partenaires!$B$10:$F$21,2,FALSE)="ME",HLOOKUP(F20,Partenaires!$B$10:$F$21,2,FALSE)="PE"),20%*U20,IF(HLOOKUP(F20,Partenaires!$B$10:$F$21,2,FALSE)="ER 100%*coûts marginaux",4%*Z20+8%*SUM(W20,Y20,AB20:AD20),0))))</f>
        <v>0</v>
      </c>
      <c r="Y20" s="43" t="str">
        <f>_xlfn.IFNA(IF(VLOOKUP(CONCATENATE($D20,$F20,$G20,Y$3),'Description des coûts'!$D$8:$M$1048576,5,FALSE)=Y$3,VLOOKUP(CONCATENATE($D20,$F20,$G20,Y$3),'Description des coûts'!$D$8:$M$1048576,9,FALSE),0),"")</f>
        <v/>
      </c>
      <c r="Z20" s="43" t="str">
        <f>_xlfn.IFNA(VLOOKUP(D20,Amortissements!$D$8:$O$1048576,8,FALSE),0)</f>
        <v/>
      </c>
      <c r="AA20" s="43" t="str">
        <f>_xlfn.IFNA(IF(VLOOKUP(CONCATENATE($D20,$F20,$G20,AA$3),'Description des coûts'!$D$8:$M$1048576,5,FALSE)=AA$3,VLOOKUP(CONCATENATE($D20,$F20,$G20,AA$3),'Description des coûts'!$D$8:$M$1048576,9,FALSE),0),"")</f>
        <v/>
      </c>
      <c r="AB20" s="43" t="str">
        <f>_xlfn.IFNA(IF(VLOOKUP(CONCATENATE($D20,$F20,$G20,AB$3),'Description des coûts'!$D$8:$M$1048576,5,FALSE)=AB$3,VLOOKUP(CONCATENATE($D20,$F20,$G20,AB$3),'Description des coûts'!$D$8:$M$1048576,9,FALSE),0),"")</f>
        <v/>
      </c>
      <c r="AC20" s="43" t="str">
        <f>_xlfn.IFNA(IF(VLOOKUP(CONCATENATE($D20,$F20,$G20,AC$3),'Description des coûts'!$D$8:$M$1048576,5,FALSE)=AC$3,VLOOKUP(CONCATENATE($D20,$F20,$G20,AC$3),'Description des coûts'!$D$8:$M$1048576,9,FALSE),0),"")</f>
        <v/>
      </c>
      <c r="AD20" s="43" t="str">
        <f>_xlfn.IFNA(IF(VLOOKUP(CONCATENATE($D20,$F20,$G20,AD$3),'Description des coûts'!$D$8:$M$1048576,5,FALSE)=AD$3,VLOOKUP(CONCATENATE($D20,$F20,$G20,AD$3),'Description des coûts'!$D$8:$M$1048576,9,FALSE),0),"")</f>
        <v/>
      </c>
      <c r="AE20" s="36"/>
      <c r="AF20" s="190">
        <f t="shared" si="34"/>
        <v>0</v>
      </c>
      <c r="AG20" s="35"/>
      <c r="AH20" s="191">
        <f>IF(F20="",0,IF(AG20="RI",N(HLOOKUP($F20,Partenaires!$B$10:$F$21,6,FALSE)),IF(AG20="DE",N(HLOOKUP($F20,Partenaires!$B$10:$F$21,7,FALSE)),IF(AG20="PE",N(HLOOKUP($F20,Partenaires!$B$10:$F$21,9,FALSE)),IF(AG20="RD",N(HLOOKUP($F20,Partenaires!$B$10:$F$21,8,FALSE)),0)))))</f>
        <v>0</v>
      </c>
      <c r="AI20" s="192">
        <f>IF(F20="",0,IF(OR(AG20="DE",AG20="NE",AG20="NR",AG20="PE"),0,IF(HLOOKUP(F20,Partenaires!$B$10:$F$21,2,FALSE)="ER 100%*coûts marginaux",AF20-V20,IF(AG20="RI",AF20,0))))</f>
        <v>0</v>
      </c>
      <c r="AJ20" s="192">
        <f t="shared" si="17"/>
        <v>0</v>
      </c>
      <c r="AK20" s="192">
        <f t="shared" si="30"/>
        <v>0</v>
      </c>
      <c r="AL20" s="192">
        <f t="shared" si="18"/>
        <v>0</v>
      </c>
      <c r="AM20" s="192">
        <f>IF(AG20="PE",AL20-(AL20*N(HLOOKUP($F20,Partenaires!$B$10:$F$21,9,FALSE))/N(HLOOKUP($F20,Partenaires!$B$10:$F$21,10,FALSE))),0)</f>
        <v>0</v>
      </c>
      <c r="AN20" s="192">
        <f t="shared" si="31"/>
        <v>0</v>
      </c>
      <c r="AO20" s="192">
        <f t="shared" si="19"/>
        <v>0</v>
      </c>
      <c r="AP20" s="192">
        <f t="shared" si="20"/>
        <v>0</v>
      </c>
      <c r="AQ20" s="192">
        <f t="shared" si="21"/>
        <v>0</v>
      </c>
      <c r="AR20" s="192">
        <f t="shared" si="22"/>
        <v>0</v>
      </c>
      <c r="AS20" s="192">
        <f t="shared" si="35"/>
        <v>0</v>
      </c>
      <c r="AT20" s="192">
        <f>IF(F20="",0,$AU20*N(HLOOKUP($F20,Partenaires!$B$10:$F$21,5,FALSE)))</f>
        <v>0</v>
      </c>
      <c r="AU20" s="192">
        <f t="shared" si="24"/>
        <v>0</v>
      </c>
    </row>
    <row r="21" spans="1:47" ht="18" customHeight="1" x14ac:dyDescent="0.35">
      <c r="A21" s="35"/>
      <c r="B21" s="35"/>
      <c r="C21" s="35"/>
      <c r="D21" s="83" t="str">
        <f t="shared" si="12"/>
        <v/>
      </c>
      <c r="E21" s="84">
        <f>IFERROR(VLOOKUP(D21,'Structure projet '!D:E,2,FALSE),"")</f>
        <v>0</v>
      </c>
      <c r="F21" s="35"/>
      <c r="G21" s="35"/>
      <c r="H21" s="36"/>
      <c r="I21" s="36"/>
      <c r="J21" s="58"/>
      <c r="K21" s="58"/>
      <c r="L21" s="58"/>
      <c r="M21" s="58"/>
      <c r="N21" s="58"/>
      <c r="O21" s="189">
        <f t="shared" si="13"/>
        <v>0</v>
      </c>
      <c r="P21" s="43"/>
      <c r="Q21" s="43"/>
      <c r="R21" s="43"/>
      <c r="S21" s="43"/>
      <c r="T21" s="43"/>
      <c r="U21" s="190">
        <f t="shared" si="14"/>
        <v>0</v>
      </c>
      <c r="V21" s="162"/>
      <c r="W21" s="190">
        <f t="shared" si="33"/>
        <v>0</v>
      </c>
      <c r="X21" s="190">
        <f>IF(F21="",0,IF(AG21="PE",0,IF(OR(HLOOKUP(F21,Partenaires!$B$10:$F$21,2,FALSE)="ER 50%*coûts complets",HLOOKUP(F21,Partenaires!$B$10:$F$21,2,FALSE)="GE",HLOOKUP(F21,Partenaires!$B$10:$F$21,2,FALSE)="ME",HLOOKUP(F21,Partenaires!$B$10:$F$21,2,FALSE)="PE"),20%*U21,IF(HLOOKUP(F21,Partenaires!$B$10:$F$21,2,FALSE)="ER 100%*coûts marginaux",4%*Z21+8%*SUM(W21,Y21,AB21:AD21),0))))</f>
        <v>0</v>
      </c>
      <c r="Y21" s="43" t="str">
        <f>_xlfn.IFNA(IF(VLOOKUP(CONCATENATE($D21,$F21,$G21,Y$3),'Description des coûts'!$D$8:$M$1048576,5,FALSE)=Y$3,VLOOKUP(CONCATENATE($D21,$F21,$G21,Y$3),'Description des coûts'!$D$8:$M$1048576,9,FALSE),0),"")</f>
        <v/>
      </c>
      <c r="Z21" s="43" t="str">
        <f>_xlfn.IFNA(VLOOKUP(D21,Amortissements!$D$8:$O$1048576,8,FALSE),0)</f>
        <v/>
      </c>
      <c r="AA21" s="43" t="str">
        <f>_xlfn.IFNA(IF(VLOOKUP(CONCATENATE($D21,$F21,$G21,AA$3),'Description des coûts'!$D$8:$M$1048576,5,FALSE)=AA$3,VLOOKUP(CONCATENATE($D21,$F21,$G21,AA$3),'Description des coûts'!$D$8:$M$1048576,9,FALSE),0),"")</f>
        <v/>
      </c>
      <c r="AB21" s="43" t="str">
        <f>_xlfn.IFNA(IF(VLOOKUP(CONCATENATE($D21,$F21,$G21,AB$3),'Description des coûts'!$D$8:$M$1048576,5,FALSE)=AB$3,VLOOKUP(CONCATENATE($D21,$F21,$G21,AB$3),'Description des coûts'!$D$8:$M$1048576,9,FALSE),0),"")</f>
        <v/>
      </c>
      <c r="AC21" s="43" t="str">
        <f>_xlfn.IFNA(IF(VLOOKUP(CONCATENATE($D21,$F21,$G21,AC$3),'Description des coûts'!$D$8:$M$1048576,5,FALSE)=AC$3,VLOOKUP(CONCATENATE($D21,$F21,$G21,AC$3),'Description des coûts'!$D$8:$M$1048576,9,FALSE),0),"")</f>
        <v/>
      </c>
      <c r="AD21" s="43" t="str">
        <f>_xlfn.IFNA(IF(VLOOKUP(CONCATENATE($D21,$F21,$G21,AD$3),'Description des coûts'!$D$8:$M$1048576,5,FALSE)=AD$3,VLOOKUP(CONCATENATE($D21,$F21,$G21,AD$3),'Description des coûts'!$D$8:$M$1048576,9,FALSE),0),"")</f>
        <v/>
      </c>
      <c r="AE21" s="36"/>
      <c r="AF21" s="190">
        <f t="shared" si="34"/>
        <v>0</v>
      </c>
      <c r="AG21" s="35"/>
      <c r="AH21" s="191">
        <f>IF(F21="",0,IF(AG21="RI",N(HLOOKUP($F21,Partenaires!$B$10:$F$21,6,FALSE)),IF(AG21="DE",N(HLOOKUP($F21,Partenaires!$B$10:$F$21,7,FALSE)),IF(AG21="PE",N(HLOOKUP($F21,Partenaires!$B$10:$F$21,9,FALSE)),IF(AG21="RD",N(HLOOKUP($F21,Partenaires!$B$10:$F$21,8,FALSE)),0)))))</f>
        <v>0</v>
      </c>
      <c r="AI21" s="192">
        <f>IF(F21="",0,IF(OR(AG21="DE",AG21="NE",AG21="NR",AG21="PE"),0,IF(HLOOKUP(F21,Partenaires!$B$10:$F$21,2,FALSE)="ER 100%*coûts marginaux",AF21-V21,IF(AG21="RI",AF21,0))))</f>
        <v>0</v>
      </c>
      <c r="AJ21" s="192">
        <f t="shared" si="17"/>
        <v>0</v>
      </c>
      <c r="AK21" s="192">
        <f t="shared" si="30"/>
        <v>0</v>
      </c>
      <c r="AL21" s="192">
        <f t="shared" si="18"/>
        <v>0</v>
      </c>
      <c r="AM21" s="192">
        <f>IF(AG21="PE",AL21-(AL21*N(HLOOKUP($F21,Partenaires!$B$10:$F$21,9,FALSE))/N(HLOOKUP($F21,Partenaires!$B$10:$F$21,10,FALSE))),0)</f>
        <v>0</v>
      </c>
      <c r="AN21" s="192">
        <f t="shared" si="31"/>
        <v>0</v>
      </c>
      <c r="AO21" s="192">
        <f t="shared" si="19"/>
        <v>0</v>
      </c>
      <c r="AP21" s="192">
        <f t="shared" si="20"/>
        <v>0</v>
      </c>
      <c r="AQ21" s="192">
        <f t="shared" si="21"/>
        <v>0</v>
      </c>
      <c r="AR21" s="192">
        <f t="shared" si="22"/>
        <v>0</v>
      </c>
      <c r="AS21" s="192">
        <f t="shared" si="35"/>
        <v>0</v>
      </c>
      <c r="AT21" s="192">
        <f>IF(F21="",0,$AU21*N(HLOOKUP($F21,Partenaires!$B$10:$F$21,5,FALSE)))</f>
        <v>0</v>
      </c>
      <c r="AU21" s="192">
        <f t="shared" si="24"/>
        <v>0</v>
      </c>
    </row>
    <row r="22" spans="1:47" ht="18" customHeight="1" x14ac:dyDescent="0.35">
      <c r="A22" s="35"/>
      <c r="B22" s="35"/>
      <c r="C22" s="35"/>
      <c r="D22" s="83" t="str">
        <f t="shared" si="12"/>
        <v/>
      </c>
      <c r="E22" s="84">
        <f>IFERROR(VLOOKUP(D22,'Structure projet '!D:E,2,FALSE),"")</f>
        <v>0</v>
      </c>
      <c r="F22" s="35"/>
      <c r="G22" s="35"/>
      <c r="H22" s="36"/>
      <c r="I22" s="36"/>
      <c r="J22" s="58"/>
      <c r="K22" s="58"/>
      <c r="L22" s="58"/>
      <c r="M22" s="58"/>
      <c r="N22" s="58"/>
      <c r="O22" s="189">
        <f t="shared" si="13"/>
        <v>0</v>
      </c>
      <c r="P22" s="43"/>
      <c r="Q22" s="43"/>
      <c r="R22" s="43"/>
      <c r="S22" s="43"/>
      <c r="T22" s="43"/>
      <c r="U22" s="190">
        <f t="shared" si="14"/>
        <v>0</v>
      </c>
      <c r="V22" s="162"/>
      <c r="W22" s="190">
        <f t="shared" si="33"/>
        <v>0</v>
      </c>
      <c r="X22" s="190">
        <f>IF(F22="",0,IF(AG22="PE",0,IF(OR(HLOOKUP(F22,Partenaires!$B$10:$F$21,2,FALSE)="ER 50%*coûts complets",HLOOKUP(F22,Partenaires!$B$10:$F$21,2,FALSE)="GE",HLOOKUP(F22,Partenaires!$B$10:$F$21,2,FALSE)="ME",HLOOKUP(F22,Partenaires!$B$10:$F$21,2,FALSE)="PE"),20%*U22,IF(HLOOKUP(F22,Partenaires!$B$10:$F$21,2,FALSE)="ER 100%*coûts marginaux",4%*Z22+8%*SUM(W22,Y22,AB22:AD22),0))))</f>
        <v>0</v>
      </c>
      <c r="Y22" s="43" t="str">
        <f>_xlfn.IFNA(IF(VLOOKUP(CONCATENATE($D22,$F22,$G22,Y$3),'Description des coûts'!$D$8:$M$1048576,5,FALSE)=Y$3,VLOOKUP(CONCATENATE($D22,$F22,$G22,Y$3),'Description des coûts'!$D$8:$M$1048576,9,FALSE),0),"")</f>
        <v/>
      </c>
      <c r="Z22" s="43" t="str">
        <f>_xlfn.IFNA(VLOOKUP(D22,Amortissements!$D$8:$O$1048576,8,FALSE),0)</f>
        <v/>
      </c>
      <c r="AA22" s="43" t="str">
        <f>_xlfn.IFNA(IF(VLOOKUP(CONCATENATE($D22,$F22,$G22,AA$3),'Description des coûts'!$D$8:$M$1048576,5,FALSE)=AA$3,VLOOKUP(CONCATENATE($D22,$F22,$G22,AA$3),'Description des coûts'!$D$8:$M$1048576,9,FALSE),0),"")</f>
        <v/>
      </c>
      <c r="AB22" s="43" t="str">
        <f>_xlfn.IFNA(IF(VLOOKUP(CONCATENATE($D22,$F22,$G22,AB$3),'Description des coûts'!$D$8:$M$1048576,5,FALSE)=AB$3,VLOOKUP(CONCATENATE($D22,$F22,$G22,AB$3),'Description des coûts'!$D$8:$M$1048576,9,FALSE),0),"")</f>
        <v/>
      </c>
      <c r="AC22" s="43" t="str">
        <f>_xlfn.IFNA(IF(VLOOKUP(CONCATENATE($D22,$F22,$G22,AC$3),'Description des coûts'!$D$8:$M$1048576,5,FALSE)=AC$3,VLOOKUP(CONCATENATE($D22,$F22,$G22,AC$3),'Description des coûts'!$D$8:$M$1048576,9,FALSE),0),"")</f>
        <v/>
      </c>
      <c r="AD22" s="43" t="str">
        <f>_xlfn.IFNA(IF(VLOOKUP(CONCATENATE($D22,$F22,$G22,AD$3),'Description des coûts'!$D$8:$M$1048576,5,FALSE)=AD$3,VLOOKUP(CONCATENATE($D22,$F22,$G22,AD$3),'Description des coûts'!$D$8:$M$1048576,9,FALSE),0),"")</f>
        <v/>
      </c>
      <c r="AE22" s="36"/>
      <c r="AF22" s="190">
        <f t="shared" si="34"/>
        <v>0</v>
      </c>
      <c r="AG22" s="35"/>
      <c r="AH22" s="191">
        <f>IF(F22="",0,IF(AG22="RI",N(HLOOKUP($F22,Partenaires!$B$10:$F$21,6,FALSE)),IF(AG22="DE",N(HLOOKUP($F22,Partenaires!$B$10:$F$21,7,FALSE)),IF(AG22="PE",N(HLOOKUP($F22,Partenaires!$B$10:$F$21,9,FALSE)),IF(AG22="RD",N(HLOOKUP($F22,Partenaires!$B$10:$F$21,8,FALSE)),0)))))</f>
        <v>0</v>
      </c>
      <c r="AI22" s="192">
        <f>IF(F22="",0,IF(OR(AG22="DE",AG22="NE",AG22="NR",AG22="PE"),0,IF(HLOOKUP(F22,Partenaires!$B$10:$F$21,2,FALSE)="ER 100%*coûts marginaux",AF22-V22,IF(AG22="RI",AF22,0))))</f>
        <v>0</v>
      </c>
      <c r="AJ22" s="192">
        <f t="shared" si="17"/>
        <v>0</v>
      </c>
      <c r="AK22" s="192">
        <f t="shared" si="30"/>
        <v>0</v>
      </c>
      <c r="AL22" s="192">
        <f t="shared" si="18"/>
        <v>0</v>
      </c>
      <c r="AM22" s="192">
        <f>IF(AG22="PE",AL22-(AL22*N(HLOOKUP($F22,Partenaires!$B$10:$F$21,9,FALSE))/N(HLOOKUP($F22,Partenaires!$B$10:$F$21,10,FALSE))),0)</f>
        <v>0</v>
      </c>
      <c r="AN22" s="192">
        <f t="shared" si="31"/>
        <v>0</v>
      </c>
      <c r="AO22" s="192">
        <f t="shared" si="19"/>
        <v>0</v>
      </c>
      <c r="AP22" s="192">
        <f t="shared" si="20"/>
        <v>0</v>
      </c>
      <c r="AQ22" s="192">
        <f t="shared" si="21"/>
        <v>0</v>
      </c>
      <c r="AR22" s="192">
        <f t="shared" si="22"/>
        <v>0</v>
      </c>
      <c r="AS22" s="192">
        <f t="shared" si="35"/>
        <v>0</v>
      </c>
      <c r="AT22" s="192">
        <f>IF(F22="",0,$AU22*N(HLOOKUP($F22,Partenaires!$B$10:$F$21,5,FALSE)))</f>
        <v>0</v>
      </c>
      <c r="AU22" s="192">
        <f t="shared" si="24"/>
        <v>0</v>
      </c>
    </row>
    <row r="23" spans="1:47" ht="18" customHeight="1" x14ac:dyDescent="0.35">
      <c r="A23" s="35"/>
      <c r="B23" s="35"/>
      <c r="C23" s="35"/>
      <c r="D23" s="83" t="str">
        <f t="shared" si="12"/>
        <v/>
      </c>
      <c r="E23" s="84">
        <f>IFERROR(VLOOKUP(D23,'Structure projet '!D:E,2,FALSE),"")</f>
        <v>0</v>
      </c>
      <c r="F23" s="35"/>
      <c r="G23" s="35"/>
      <c r="H23" s="36"/>
      <c r="I23" s="36"/>
      <c r="J23" s="58"/>
      <c r="K23" s="58"/>
      <c r="L23" s="58"/>
      <c r="M23" s="58"/>
      <c r="N23" s="58"/>
      <c r="O23" s="189">
        <f t="shared" si="13"/>
        <v>0</v>
      </c>
      <c r="P23" s="43"/>
      <c r="Q23" s="43"/>
      <c r="R23" s="43"/>
      <c r="S23" s="43"/>
      <c r="T23" s="43"/>
      <c r="U23" s="190">
        <f t="shared" si="14"/>
        <v>0</v>
      </c>
      <c r="V23" s="162"/>
      <c r="W23" s="190">
        <f t="shared" si="33"/>
        <v>0</v>
      </c>
      <c r="X23" s="190">
        <f>IF(F23="",0,IF(AG23="PE",0,IF(OR(HLOOKUP(F23,Partenaires!$B$10:$F$21,2,FALSE)="ER 50%*coûts complets",HLOOKUP(F23,Partenaires!$B$10:$F$21,2,FALSE)="GE",HLOOKUP(F23,Partenaires!$B$10:$F$21,2,FALSE)="ME",HLOOKUP(F23,Partenaires!$B$10:$F$21,2,FALSE)="PE"),20%*U23,IF(HLOOKUP(F23,Partenaires!$B$10:$F$21,2,FALSE)="ER 100%*coûts marginaux",4%*Z23+8%*SUM(W23,Y23,AB23:AD23),0))))</f>
        <v>0</v>
      </c>
      <c r="Y23" s="43" t="str">
        <f>_xlfn.IFNA(IF(VLOOKUP(CONCATENATE($D23,$F23,$G23,Y$3),'Description des coûts'!$D$8:$M$1048576,5,FALSE)=Y$3,VLOOKUP(CONCATENATE($D23,$F23,$G23,Y$3),'Description des coûts'!$D$8:$M$1048576,9,FALSE),0),"")</f>
        <v/>
      </c>
      <c r="Z23" s="43" t="str">
        <f>_xlfn.IFNA(VLOOKUP(D23,Amortissements!$D$8:$O$1048576,8,FALSE),0)</f>
        <v/>
      </c>
      <c r="AA23" s="43" t="str">
        <f>_xlfn.IFNA(IF(VLOOKUP(CONCATENATE($D23,$F23,$G23,AA$3),'Description des coûts'!$D$8:$M$1048576,5,FALSE)=AA$3,VLOOKUP(CONCATENATE($D23,$F23,$G23,AA$3),'Description des coûts'!$D$8:$M$1048576,9,FALSE),0),"")</f>
        <v/>
      </c>
      <c r="AB23" s="43" t="str">
        <f>_xlfn.IFNA(IF(VLOOKUP(CONCATENATE($D23,$F23,$G23,AB$3),'Description des coûts'!$D$8:$M$1048576,5,FALSE)=AB$3,VLOOKUP(CONCATENATE($D23,$F23,$G23,AB$3),'Description des coûts'!$D$8:$M$1048576,9,FALSE),0),"")</f>
        <v/>
      </c>
      <c r="AC23" s="43" t="str">
        <f>_xlfn.IFNA(IF(VLOOKUP(CONCATENATE($D23,$F23,$G23,AC$3),'Description des coûts'!$D$8:$M$1048576,5,FALSE)=AC$3,VLOOKUP(CONCATENATE($D23,$F23,$G23,AC$3),'Description des coûts'!$D$8:$M$1048576,9,FALSE),0),"")</f>
        <v/>
      </c>
      <c r="AD23" s="43" t="str">
        <f>_xlfn.IFNA(IF(VLOOKUP(CONCATENATE($D23,$F23,$G23,AD$3),'Description des coûts'!$D$8:$M$1048576,5,FALSE)=AD$3,VLOOKUP(CONCATENATE($D23,$F23,$G23,AD$3),'Description des coûts'!$D$8:$M$1048576,9,FALSE),0),"")</f>
        <v/>
      </c>
      <c r="AE23" s="36"/>
      <c r="AF23" s="190">
        <f t="shared" si="34"/>
        <v>0</v>
      </c>
      <c r="AG23" s="35"/>
      <c r="AH23" s="191">
        <f>IF(F23="",0,IF(AG23="RI",N(HLOOKUP($F23,Partenaires!$B$10:$F$21,6,FALSE)),IF(AG23="DE",N(HLOOKUP($F23,Partenaires!$B$10:$F$21,7,FALSE)),IF(AG23="PE",N(HLOOKUP($F23,Partenaires!$B$10:$F$21,9,FALSE)),IF(AG23="RD",N(HLOOKUP($F23,Partenaires!$B$10:$F$21,8,FALSE)),0)))))</f>
        <v>0</v>
      </c>
      <c r="AI23" s="192">
        <f>IF(F23="",0,IF(OR(AG23="DE",AG23="NE",AG23="NR",AG23="PE"),0,IF(HLOOKUP(F23,Partenaires!$B$10:$F$21,2,FALSE)="ER 100%*coûts marginaux",AF23-V23,IF(AG23="RI",AF23,0))))</f>
        <v>0</v>
      </c>
      <c r="AJ23" s="192">
        <f t="shared" si="17"/>
        <v>0</v>
      </c>
      <c r="AK23" s="192">
        <f t="shared" si="30"/>
        <v>0</v>
      </c>
      <c r="AL23" s="192">
        <f t="shared" si="18"/>
        <v>0</v>
      </c>
      <c r="AM23" s="192">
        <f>IF(AG23="PE",AL23-(AL23*N(HLOOKUP($F23,Partenaires!$B$10:$F$21,9,FALSE))/N(HLOOKUP($F23,Partenaires!$B$10:$F$21,10,FALSE))),0)</f>
        <v>0</v>
      </c>
      <c r="AN23" s="192">
        <f t="shared" si="31"/>
        <v>0</v>
      </c>
      <c r="AO23" s="192">
        <f t="shared" si="19"/>
        <v>0</v>
      </c>
      <c r="AP23" s="192">
        <f t="shared" si="20"/>
        <v>0</v>
      </c>
      <c r="AQ23" s="192">
        <f t="shared" si="21"/>
        <v>0</v>
      </c>
      <c r="AR23" s="192">
        <f t="shared" si="22"/>
        <v>0</v>
      </c>
      <c r="AS23" s="192">
        <f t="shared" si="35"/>
        <v>0</v>
      </c>
      <c r="AT23" s="192">
        <f>IF(F23="",0,$AU23*N(HLOOKUP($F23,Partenaires!$B$10:$F$21,5,FALSE)))</f>
        <v>0</v>
      </c>
      <c r="AU23" s="192">
        <f t="shared" si="24"/>
        <v>0</v>
      </c>
    </row>
    <row r="24" spans="1:47" ht="18" customHeight="1" x14ac:dyDescent="0.35">
      <c r="A24" s="35"/>
      <c r="B24" s="35"/>
      <c r="C24" s="35"/>
      <c r="D24" s="83" t="str">
        <f t="shared" si="12"/>
        <v/>
      </c>
      <c r="E24" s="84">
        <f>IFERROR(VLOOKUP(D24,'Structure projet '!D:E,2,FALSE),"")</f>
        <v>0</v>
      </c>
      <c r="F24" s="35"/>
      <c r="G24" s="35"/>
      <c r="H24" s="36"/>
      <c r="I24" s="36"/>
      <c r="J24" s="58"/>
      <c r="K24" s="58"/>
      <c r="L24" s="58"/>
      <c r="M24" s="58"/>
      <c r="N24" s="58"/>
      <c r="O24" s="189">
        <f t="shared" si="13"/>
        <v>0</v>
      </c>
      <c r="P24" s="43"/>
      <c r="Q24" s="43"/>
      <c r="R24" s="43"/>
      <c r="S24" s="43"/>
      <c r="T24" s="43"/>
      <c r="U24" s="190">
        <f t="shared" si="14"/>
        <v>0</v>
      </c>
      <c r="V24" s="162"/>
      <c r="W24" s="190">
        <f t="shared" si="33"/>
        <v>0</v>
      </c>
      <c r="X24" s="190">
        <f>IF(F24="",0,IF(AG24="PE",0,IF(OR(HLOOKUP(F24,Partenaires!$B$10:$F$21,2,FALSE)="ER 50%*coûts complets",HLOOKUP(F24,Partenaires!$B$10:$F$21,2,FALSE)="GE",HLOOKUP(F24,Partenaires!$B$10:$F$21,2,FALSE)="ME",HLOOKUP(F24,Partenaires!$B$10:$F$21,2,FALSE)="PE"),20%*U24,IF(HLOOKUP(F24,Partenaires!$B$10:$F$21,2,FALSE)="ER 100%*coûts marginaux",4%*Z24+8%*SUM(W24,Y24,AB24:AD24),0))))</f>
        <v>0</v>
      </c>
      <c r="Y24" s="43" t="str">
        <f>_xlfn.IFNA(IF(VLOOKUP(CONCATENATE($D24,$F24,$G24,Y$3),'Description des coûts'!$D$8:$M$1048576,5,FALSE)=Y$3,VLOOKUP(CONCATENATE($D24,$F24,$G24,Y$3),'Description des coûts'!$D$8:$M$1048576,9,FALSE),0),"")</f>
        <v/>
      </c>
      <c r="Z24" s="43" t="str">
        <f>_xlfn.IFNA(VLOOKUP(D24,Amortissements!$D$8:$O$1048576,8,FALSE),0)</f>
        <v/>
      </c>
      <c r="AA24" s="43" t="str">
        <f>_xlfn.IFNA(IF(VLOOKUP(CONCATENATE($D24,$F24,$G24,AA$3),'Description des coûts'!$D$8:$M$1048576,5,FALSE)=AA$3,VLOOKUP(CONCATENATE($D24,$F24,$G24,AA$3),'Description des coûts'!$D$8:$M$1048576,9,FALSE),0),"")</f>
        <v/>
      </c>
      <c r="AB24" s="43" t="str">
        <f>_xlfn.IFNA(IF(VLOOKUP(CONCATENATE($D24,$F24,$G24,AB$3),'Description des coûts'!$D$8:$M$1048576,5,FALSE)=AB$3,VLOOKUP(CONCATENATE($D24,$F24,$G24,AB$3),'Description des coûts'!$D$8:$M$1048576,9,FALSE),0),"")</f>
        <v/>
      </c>
      <c r="AC24" s="43" t="str">
        <f>_xlfn.IFNA(IF(VLOOKUP(CONCATENATE($D24,$F24,$G24,AC$3),'Description des coûts'!$D$8:$M$1048576,5,FALSE)=AC$3,VLOOKUP(CONCATENATE($D24,$F24,$G24,AC$3),'Description des coûts'!$D$8:$M$1048576,9,FALSE),0),"")</f>
        <v/>
      </c>
      <c r="AD24" s="43" t="str">
        <f>_xlfn.IFNA(IF(VLOOKUP(CONCATENATE($D24,$F24,$G24,AD$3),'Description des coûts'!$D$8:$M$1048576,5,FALSE)=AD$3,VLOOKUP(CONCATENATE($D24,$F24,$G24,AD$3),'Description des coûts'!$D$8:$M$1048576,9,FALSE),0),"")</f>
        <v/>
      </c>
      <c r="AE24" s="36"/>
      <c r="AF24" s="190">
        <f t="shared" si="34"/>
        <v>0</v>
      </c>
      <c r="AG24" s="35"/>
      <c r="AH24" s="191">
        <f>IF(F24="",0,IF(AG24="RI",N(HLOOKUP($F24,Partenaires!$B$10:$F$21,6,FALSE)),IF(AG24="DE",N(HLOOKUP($F24,Partenaires!$B$10:$F$21,7,FALSE)),IF(AG24="PE",N(HLOOKUP($F24,Partenaires!$B$10:$F$21,9,FALSE)),IF(AG24="RD",N(HLOOKUP($F24,Partenaires!$B$10:$F$21,8,FALSE)),0)))))</f>
        <v>0</v>
      </c>
      <c r="AI24" s="192">
        <f>IF(F24="",0,IF(OR(AG24="DE",AG24="NE",AG24="NR",AG24="PE"),0,IF(HLOOKUP(F24,Partenaires!$B$10:$F$21,2,FALSE)="ER 100%*coûts marginaux",AF24-V24,IF(AG24="RI",AF24,0))))</f>
        <v>0</v>
      </c>
      <c r="AJ24" s="192">
        <f t="shared" si="17"/>
        <v>0</v>
      </c>
      <c r="AK24" s="192">
        <f t="shared" si="30"/>
        <v>0</v>
      </c>
      <c r="AL24" s="192">
        <f t="shared" si="18"/>
        <v>0</v>
      </c>
      <c r="AM24" s="192">
        <f>IF(AG24="PE",AL24-(AL24*N(HLOOKUP($F24,Partenaires!$B$10:$F$21,9,FALSE))/N(HLOOKUP($F24,Partenaires!$B$10:$F$21,10,FALSE))),0)</f>
        <v>0</v>
      </c>
      <c r="AN24" s="192">
        <f t="shared" si="31"/>
        <v>0</v>
      </c>
      <c r="AO24" s="192">
        <f t="shared" si="19"/>
        <v>0</v>
      </c>
      <c r="AP24" s="192">
        <f t="shared" si="20"/>
        <v>0</v>
      </c>
      <c r="AQ24" s="192">
        <f t="shared" si="21"/>
        <v>0</v>
      </c>
      <c r="AR24" s="192">
        <f t="shared" si="22"/>
        <v>0</v>
      </c>
      <c r="AS24" s="192">
        <f t="shared" si="35"/>
        <v>0</v>
      </c>
      <c r="AT24" s="192">
        <f>IF(F24="",0,$AU24*N(HLOOKUP($F24,Partenaires!$B$10:$F$21,5,FALSE)))</f>
        <v>0</v>
      </c>
      <c r="AU24" s="192">
        <f t="shared" si="24"/>
        <v>0</v>
      </c>
    </row>
    <row r="25" spans="1:47" ht="18" customHeight="1" x14ac:dyDescent="0.35">
      <c r="A25" s="35"/>
      <c r="B25" s="35"/>
      <c r="C25" s="35"/>
      <c r="D25" s="83" t="str">
        <f t="shared" si="12"/>
        <v/>
      </c>
      <c r="E25" s="84">
        <f>IFERROR(VLOOKUP(D25,'Structure projet '!D:E,2,FALSE),"")</f>
        <v>0</v>
      </c>
      <c r="F25" s="35"/>
      <c r="G25" s="35"/>
      <c r="H25" s="36"/>
      <c r="I25" s="36"/>
      <c r="J25" s="58"/>
      <c r="K25" s="58"/>
      <c r="L25" s="58"/>
      <c r="M25" s="58"/>
      <c r="N25" s="58"/>
      <c r="O25" s="189">
        <f t="shared" si="13"/>
        <v>0</v>
      </c>
      <c r="P25" s="43"/>
      <c r="Q25" s="43"/>
      <c r="R25" s="43"/>
      <c r="S25" s="43"/>
      <c r="T25" s="43"/>
      <c r="U25" s="190">
        <f t="shared" si="14"/>
        <v>0</v>
      </c>
      <c r="V25" s="162"/>
      <c r="W25" s="190">
        <f t="shared" si="33"/>
        <v>0</v>
      </c>
      <c r="X25" s="190">
        <f>IF(F25="",0,IF(AG25="PE",0,IF(OR(HLOOKUP(F25,Partenaires!$B$10:$F$21,2,FALSE)="ER 50%*coûts complets",HLOOKUP(F25,Partenaires!$B$10:$F$21,2,FALSE)="GE",HLOOKUP(F25,Partenaires!$B$10:$F$21,2,FALSE)="ME",HLOOKUP(F25,Partenaires!$B$10:$F$21,2,FALSE)="PE"),20%*U25,IF(HLOOKUP(F25,Partenaires!$B$10:$F$21,2,FALSE)="ER 100%*coûts marginaux",4%*Z25+8%*SUM(W25,Y25,AB25:AD25),0))))</f>
        <v>0</v>
      </c>
      <c r="Y25" s="43" t="str">
        <f>_xlfn.IFNA(IF(VLOOKUP(CONCATENATE($D25,$F25,$G25,Y$3),'Description des coûts'!$D$8:$M$1048576,5,FALSE)=Y$3,VLOOKUP(CONCATENATE($D25,$F25,$G25,Y$3),'Description des coûts'!$D$8:$M$1048576,9,FALSE),0),"")</f>
        <v/>
      </c>
      <c r="Z25" s="43" t="str">
        <f>_xlfn.IFNA(VLOOKUP(D25,Amortissements!$D$8:$O$1048576,8,FALSE),0)</f>
        <v/>
      </c>
      <c r="AA25" s="43" t="str">
        <f>_xlfn.IFNA(IF(VLOOKUP(CONCATENATE($D25,$F25,$G25,AA$3),'Description des coûts'!$D$8:$M$1048576,5,FALSE)=AA$3,VLOOKUP(CONCATENATE($D25,$F25,$G25,AA$3),'Description des coûts'!$D$8:$M$1048576,9,FALSE),0),"")</f>
        <v/>
      </c>
      <c r="AB25" s="43" t="str">
        <f>_xlfn.IFNA(IF(VLOOKUP(CONCATENATE($D25,$F25,$G25,AB$3),'Description des coûts'!$D$8:$M$1048576,5,FALSE)=AB$3,VLOOKUP(CONCATENATE($D25,$F25,$G25,AB$3),'Description des coûts'!$D$8:$M$1048576,9,FALSE),0),"")</f>
        <v/>
      </c>
      <c r="AC25" s="43" t="str">
        <f>_xlfn.IFNA(IF(VLOOKUP(CONCATENATE($D25,$F25,$G25,AC$3),'Description des coûts'!$D$8:$M$1048576,5,FALSE)=AC$3,VLOOKUP(CONCATENATE($D25,$F25,$G25,AC$3),'Description des coûts'!$D$8:$M$1048576,9,FALSE),0),"")</f>
        <v/>
      </c>
      <c r="AD25" s="43" t="str">
        <f>_xlfn.IFNA(IF(VLOOKUP(CONCATENATE($D25,$F25,$G25,AD$3),'Description des coûts'!$D$8:$M$1048576,5,FALSE)=AD$3,VLOOKUP(CONCATENATE($D25,$F25,$G25,AD$3),'Description des coûts'!$D$8:$M$1048576,9,FALSE),0),"")</f>
        <v/>
      </c>
      <c r="AE25" s="36"/>
      <c r="AF25" s="190">
        <f t="shared" si="34"/>
        <v>0</v>
      </c>
      <c r="AG25" s="35"/>
      <c r="AH25" s="191">
        <f>IF(F25="",0,IF(AG25="RI",N(HLOOKUP($F25,Partenaires!$B$10:$F$21,6,FALSE)),IF(AG25="DE",N(HLOOKUP($F25,Partenaires!$B$10:$F$21,7,FALSE)),IF(AG25="PE",N(HLOOKUP($F25,Partenaires!$B$10:$F$21,9,FALSE)),IF(AG25="RD",N(HLOOKUP($F25,Partenaires!$B$10:$F$21,8,FALSE)),0)))))</f>
        <v>0</v>
      </c>
      <c r="AI25" s="192">
        <f>IF(F25="",0,IF(OR(AG25="DE",AG25="NE",AG25="NR",AG25="PE"),0,IF(HLOOKUP(F25,Partenaires!$B$10:$F$21,2,FALSE)="ER 100%*coûts marginaux",AF25-V25,IF(AG25="RI",AF25,0))))</f>
        <v>0</v>
      </c>
      <c r="AJ25" s="192">
        <f t="shared" si="17"/>
        <v>0</v>
      </c>
      <c r="AK25" s="192">
        <f t="shared" si="30"/>
        <v>0</v>
      </c>
      <c r="AL25" s="192">
        <f t="shared" si="18"/>
        <v>0</v>
      </c>
      <c r="AM25" s="192">
        <f>IF(AG25="PE",AL25-(AL25*N(HLOOKUP($F25,Partenaires!$B$10:$F$21,9,FALSE))/N(HLOOKUP($F25,Partenaires!$B$10:$F$21,10,FALSE))),0)</f>
        <v>0</v>
      </c>
      <c r="AN25" s="192">
        <f t="shared" si="31"/>
        <v>0</v>
      </c>
      <c r="AO25" s="192">
        <f t="shared" si="19"/>
        <v>0</v>
      </c>
      <c r="AP25" s="192">
        <f t="shared" si="20"/>
        <v>0</v>
      </c>
      <c r="AQ25" s="192">
        <f t="shared" si="21"/>
        <v>0</v>
      </c>
      <c r="AR25" s="192">
        <f t="shared" si="22"/>
        <v>0</v>
      </c>
      <c r="AS25" s="192">
        <f t="shared" si="35"/>
        <v>0</v>
      </c>
      <c r="AT25" s="192">
        <f>IF(F25="",0,$AU25*N(HLOOKUP($F25,Partenaires!$B$10:$F$21,5,FALSE)))</f>
        <v>0</v>
      </c>
      <c r="AU25" s="192">
        <f t="shared" si="24"/>
        <v>0</v>
      </c>
    </row>
    <row r="26" spans="1:47" ht="18" customHeight="1" x14ac:dyDescent="0.35">
      <c r="A26" s="35"/>
      <c r="B26" s="35"/>
      <c r="C26" s="35"/>
      <c r="D26" s="83" t="str">
        <f t="shared" si="12"/>
        <v/>
      </c>
      <c r="E26" s="84">
        <f>IFERROR(VLOOKUP(D26,'Structure projet '!D:E,2,FALSE),"")</f>
        <v>0</v>
      </c>
      <c r="F26" s="35"/>
      <c r="G26" s="35"/>
      <c r="H26" s="36"/>
      <c r="I26" s="36"/>
      <c r="J26" s="58"/>
      <c r="K26" s="58"/>
      <c r="L26" s="58"/>
      <c r="M26" s="58"/>
      <c r="N26" s="58"/>
      <c r="O26" s="189">
        <f t="shared" si="13"/>
        <v>0</v>
      </c>
      <c r="P26" s="43"/>
      <c r="Q26" s="43"/>
      <c r="R26" s="43"/>
      <c r="S26" s="43"/>
      <c r="T26" s="43"/>
      <c r="U26" s="190">
        <f t="shared" si="14"/>
        <v>0</v>
      </c>
      <c r="V26" s="162"/>
      <c r="W26" s="190">
        <f t="shared" si="33"/>
        <v>0</v>
      </c>
      <c r="X26" s="190">
        <f>IF(F26="",0,IF(AG26="PE",0,IF(OR(HLOOKUP(F26,Partenaires!$B$10:$F$21,2,FALSE)="ER 50%*coûts complets",HLOOKUP(F26,Partenaires!$B$10:$F$21,2,FALSE)="GE",HLOOKUP(F26,Partenaires!$B$10:$F$21,2,FALSE)="ME",HLOOKUP(F26,Partenaires!$B$10:$F$21,2,FALSE)="PE"),20%*U26,IF(HLOOKUP(F26,Partenaires!$B$10:$F$21,2,FALSE)="ER 100%*coûts marginaux",4%*Z26+8%*SUM(W26,Y26,AB26:AD26),0))))</f>
        <v>0</v>
      </c>
      <c r="Y26" s="43" t="str">
        <f>_xlfn.IFNA(IF(VLOOKUP(CONCATENATE($D26,$F26,$G26,Y$3),'Description des coûts'!$D$8:$M$1048576,5,FALSE)=Y$3,VLOOKUP(CONCATENATE($D26,$F26,$G26,Y$3),'Description des coûts'!$D$8:$M$1048576,9,FALSE),0),"")</f>
        <v/>
      </c>
      <c r="Z26" s="43" t="str">
        <f>_xlfn.IFNA(VLOOKUP(D26,Amortissements!$D$8:$O$1048576,8,FALSE),0)</f>
        <v/>
      </c>
      <c r="AA26" s="43" t="str">
        <f>_xlfn.IFNA(IF(VLOOKUP(CONCATENATE($D26,$F26,$G26,AA$3),'Description des coûts'!$D$8:$M$1048576,5,FALSE)=AA$3,VLOOKUP(CONCATENATE($D26,$F26,$G26,AA$3),'Description des coûts'!$D$8:$M$1048576,9,FALSE),0),"")</f>
        <v/>
      </c>
      <c r="AB26" s="43" t="str">
        <f>_xlfn.IFNA(IF(VLOOKUP(CONCATENATE($D26,$F26,$G26,AB$3),'Description des coûts'!$D$8:$M$1048576,5,FALSE)=AB$3,VLOOKUP(CONCATENATE($D26,$F26,$G26,AB$3),'Description des coûts'!$D$8:$M$1048576,9,FALSE),0),"")</f>
        <v/>
      </c>
      <c r="AC26" s="43" t="str">
        <f>_xlfn.IFNA(IF(VLOOKUP(CONCATENATE($D26,$F26,$G26,AC$3),'Description des coûts'!$D$8:$M$1048576,5,FALSE)=AC$3,VLOOKUP(CONCATENATE($D26,$F26,$G26,AC$3),'Description des coûts'!$D$8:$M$1048576,9,FALSE),0),"")</f>
        <v/>
      </c>
      <c r="AD26" s="43" t="str">
        <f>_xlfn.IFNA(IF(VLOOKUP(CONCATENATE($D26,$F26,$G26,AD$3),'Description des coûts'!$D$8:$M$1048576,5,FALSE)=AD$3,VLOOKUP(CONCATENATE($D26,$F26,$G26,AD$3),'Description des coûts'!$D$8:$M$1048576,9,FALSE),0),"")</f>
        <v/>
      </c>
      <c r="AE26" s="36"/>
      <c r="AF26" s="190">
        <f t="shared" si="34"/>
        <v>0</v>
      </c>
      <c r="AG26" s="35"/>
      <c r="AH26" s="191">
        <f>IF(F26="",0,IF(AG26="RI",N(HLOOKUP($F26,Partenaires!$B$10:$F$21,6,FALSE)),IF(AG26="DE",N(HLOOKUP($F26,Partenaires!$B$10:$F$21,7,FALSE)),IF(AG26="PE",N(HLOOKUP($F26,Partenaires!$B$10:$F$21,9,FALSE)),IF(AG26="RD",N(HLOOKUP($F26,Partenaires!$B$10:$F$21,8,FALSE)),0)))))</f>
        <v>0</v>
      </c>
      <c r="AI26" s="192">
        <f>IF(F26="",0,IF(OR(AG26="DE",AG26="NE",AG26="NR",AG26="PE"),0,IF(HLOOKUP(F26,Partenaires!$B$10:$F$21,2,FALSE)="ER 100%*coûts marginaux",AF26-V26,IF(AG26="RI",AF26,0))))</f>
        <v>0</v>
      </c>
      <c r="AJ26" s="192">
        <f t="shared" si="17"/>
        <v>0</v>
      </c>
      <c r="AK26" s="192">
        <f t="shared" si="30"/>
        <v>0</v>
      </c>
      <c r="AL26" s="192">
        <f t="shared" si="18"/>
        <v>0</v>
      </c>
      <c r="AM26" s="192">
        <f>IF(AG26="PE",AL26-(AL26*N(HLOOKUP($F26,Partenaires!$B$10:$F$21,9,FALSE))/N(HLOOKUP($F26,Partenaires!$B$10:$F$21,10,FALSE))),0)</f>
        <v>0</v>
      </c>
      <c r="AN26" s="192">
        <f t="shared" si="31"/>
        <v>0</v>
      </c>
      <c r="AO26" s="192">
        <f t="shared" si="19"/>
        <v>0</v>
      </c>
      <c r="AP26" s="192">
        <f t="shared" si="20"/>
        <v>0</v>
      </c>
      <c r="AQ26" s="192">
        <f t="shared" si="21"/>
        <v>0</v>
      </c>
      <c r="AR26" s="192">
        <f t="shared" si="22"/>
        <v>0</v>
      </c>
      <c r="AS26" s="192">
        <f t="shared" si="35"/>
        <v>0</v>
      </c>
      <c r="AT26" s="192">
        <f>IF(F26="",0,$AU26*N(HLOOKUP($F26,Partenaires!$B$10:$F$21,5,FALSE)))</f>
        <v>0</v>
      </c>
      <c r="AU26" s="192">
        <f t="shared" si="24"/>
        <v>0</v>
      </c>
    </row>
    <row r="27" spans="1:47" ht="18" customHeight="1" x14ac:dyDescent="0.35">
      <c r="A27" s="35"/>
      <c r="B27" s="35"/>
      <c r="C27" s="35"/>
      <c r="D27" s="83" t="str">
        <f t="shared" si="12"/>
        <v/>
      </c>
      <c r="E27" s="84">
        <f>IFERROR(VLOOKUP(D27,'Structure projet '!D:E,2,FALSE),"")</f>
        <v>0</v>
      </c>
      <c r="F27" s="35"/>
      <c r="G27" s="35"/>
      <c r="H27" s="36"/>
      <c r="I27" s="36"/>
      <c r="J27" s="58"/>
      <c r="K27" s="58"/>
      <c r="L27" s="58"/>
      <c r="M27" s="58"/>
      <c r="N27" s="58"/>
      <c r="O27" s="189">
        <f t="shared" si="13"/>
        <v>0</v>
      </c>
      <c r="P27" s="43"/>
      <c r="Q27" s="43"/>
      <c r="R27" s="43"/>
      <c r="S27" s="43"/>
      <c r="T27" s="43"/>
      <c r="U27" s="190">
        <f t="shared" si="14"/>
        <v>0</v>
      </c>
      <c r="V27" s="162"/>
      <c r="W27" s="190">
        <f t="shared" si="33"/>
        <v>0</v>
      </c>
      <c r="X27" s="190">
        <f>IF(F27="",0,IF(AG27="PE",0,IF(OR(HLOOKUP(F27,Partenaires!$B$10:$F$21,2,FALSE)="ER 50%*coûts complets",HLOOKUP(F27,Partenaires!$B$10:$F$21,2,FALSE)="GE",HLOOKUP(F27,Partenaires!$B$10:$F$21,2,FALSE)="ME",HLOOKUP(F27,Partenaires!$B$10:$F$21,2,FALSE)="PE"),20%*U27,IF(HLOOKUP(F27,Partenaires!$B$10:$F$21,2,FALSE)="ER 100%*coûts marginaux",4%*Z27+8%*SUM(W27,Y27,AB27:AD27),0))))</f>
        <v>0</v>
      </c>
      <c r="Y27" s="43" t="str">
        <f>_xlfn.IFNA(IF(VLOOKUP(CONCATENATE($D27,$F27,$G27,Y$3),'Description des coûts'!$D$8:$M$1048576,5,FALSE)=Y$3,VLOOKUP(CONCATENATE($D27,$F27,$G27,Y$3),'Description des coûts'!$D$8:$M$1048576,9,FALSE),0),"")</f>
        <v/>
      </c>
      <c r="Z27" s="43" t="str">
        <f>_xlfn.IFNA(VLOOKUP(D27,Amortissements!$D$8:$O$1048576,8,FALSE),0)</f>
        <v/>
      </c>
      <c r="AA27" s="43" t="str">
        <f>_xlfn.IFNA(IF(VLOOKUP(CONCATENATE($D27,$F27,$G27,AA$3),'Description des coûts'!$D$8:$M$1048576,5,FALSE)=AA$3,VLOOKUP(CONCATENATE($D27,$F27,$G27,AA$3),'Description des coûts'!$D$8:$M$1048576,9,FALSE),0),"")</f>
        <v/>
      </c>
      <c r="AB27" s="43" t="str">
        <f>_xlfn.IFNA(IF(VLOOKUP(CONCATENATE($D27,$F27,$G27,AB$3),'Description des coûts'!$D$8:$M$1048576,5,FALSE)=AB$3,VLOOKUP(CONCATENATE($D27,$F27,$G27,AB$3),'Description des coûts'!$D$8:$M$1048576,9,FALSE),0),"")</f>
        <v/>
      </c>
      <c r="AC27" s="43" t="str">
        <f>_xlfn.IFNA(IF(VLOOKUP(CONCATENATE($D27,$F27,$G27,AC$3),'Description des coûts'!$D$8:$M$1048576,5,FALSE)=AC$3,VLOOKUP(CONCATENATE($D27,$F27,$G27,AC$3),'Description des coûts'!$D$8:$M$1048576,9,FALSE),0),"")</f>
        <v/>
      </c>
      <c r="AD27" s="43" t="str">
        <f>_xlfn.IFNA(IF(VLOOKUP(CONCATENATE($D27,$F27,$G27,AD$3),'Description des coûts'!$D$8:$M$1048576,5,FALSE)=AD$3,VLOOKUP(CONCATENATE($D27,$F27,$G27,AD$3),'Description des coûts'!$D$8:$M$1048576,9,FALSE),0),"")</f>
        <v/>
      </c>
      <c r="AE27" s="36"/>
      <c r="AF27" s="190">
        <f t="shared" si="34"/>
        <v>0</v>
      </c>
      <c r="AG27" s="35"/>
      <c r="AH27" s="191">
        <f>IF(F27="",0,IF(AG27="RI",N(HLOOKUP($F27,Partenaires!$B$10:$F$21,6,FALSE)),IF(AG27="DE",N(HLOOKUP($F27,Partenaires!$B$10:$F$21,7,FALSE)),IF(AG27="PE",N(HLOOKUP($F27,Partenaires!$B$10:$F$21,9,FALSE)),IF(AG27="RD",N(HLOOKUP($F27,Partenaires!$B$10:$F$21,8,FALSE)),0)))))</f>
        <v>0</v>
      </c>
      <c r="AI27" s="192">
        <f>IF(F27="",0,IF(OR(AG27="DE",AG27="NE",AG27="NR",AG27="PE"),0,IF(HLOOKUP(F27,Partenaires!$B$10:$F$21,2,FALSE)="ER 100%*coûts marginaux",AF27-V27,IF(AG27="RI",AF27,0))))</f>
        <v>0</v>
      </c>
      <c r="AJ27" s="192">
        <f t="shared" si="17"/>
        <v>0</v>
      </c>
      <c r="AK27" s="192">
        <f t="shared" si="30"/>
        <v>0</v>
      </c>
      <c r="AL27" s="192">
        <f t="shared" si="18"/>
        <v>0</v>
      </c>
      <c r="AM27" s="192">
        <f>IF(AG27="PE",AL27-(AL27*N(HLOOKUP($F27,Partenaires!$B$10:$F$21,9,FALSE))/N(HLOOKUP($F27,Partenaires!$B$10:$F$21,10,FALSE))),0)</f>
        <v>0</v>
      </c>
      <c r="AN27" s="192">
        <f t="shared" si="31"/>
        <v>0</v>
      </c>
      <c r="AO27" s="192">
        <f t="shared" si="19"/>
        <v>0</v>
      </c>
      <c r="AP27" s="192">
        <f t="shared" si="20"/>
        <v>0</v>
      </c>
      <c r="AQ27" s="192">
        <f t="shared" si="21"/>
        <v>0</v>
      </c>
      <c r="AR27" s="192">
        <f t="shared" si="22"/>
        <v>0</v>
      </c>
      <c r="AS27" s="192">
        <f t="shared" si="35"/>
        <v>0</v>
      </c>
      <c r="AT27" s="192">
        <f>IF(F27="",0,$AU27*N(HLOOKUP($F27,Partenaires!$B$10:$F$21,5,FALSE)))</f>
        <v>0</v>
      </c>
      <c r="AU27" s="192">
        <f t="shared" si="24"/>
        <v>0</v>
      </c>
    </row>
    <row r="28" spans="1:47" ht="18" customHeight="1" x14ac:dyDescent="0.35">
      <c r="A28" s="35"/>
      <c r="B28" s="35"/>
      <c r="C28" s="35"/>
      <c r="D28" s="83" t="str">
        <f t="shared" si="12"/>
        <v/>
      </c>
      <c r="E28" s="84">
        <f>IFERROR(VLOOKUP(D28,'Structure projet '!D:E,2,FALSE),"")</f>
        <v>0</v>
      </c>
      <c r="F28" s="35"/>
      <c r="G28" s="35"/>
      <c r="H28" s="36"/>
      <c r="I28" s="36"/>
      <c r="J28" s="58"/>
      <c r="K28" s="58"/>
      <c r="L28" s="58"/>
      <c r="M28" s="58"/>
      <c r="N28" s="58"/>
      <c r="O28" s="189">
        <f t="shared" si="13"/>
        <v>0</v>
      </c>
      <c r="P28" s="43"/>
      <c r="Q28" s="43"/>
      <c r="R28" s="43"/>
      <c r="S28" s="43"/>
      <c r="T28" s="43"/>
      <c r="U28" s="190">
        <f t="shared" si="14"/>
        <v>0</v>
      </c>
      <c r="V28" s="162"/>
      <c r="W28" s="190">
        <f t="shared" si="33"/>
        <v>0</v>
      </c>
      <c r="X28" s="190">
        <f>IF(F28="",0,IF(AG28="PE",0,IF(OR(HLOOKUP(F28,Partenaires!$B$10:$F$21,2,FALSE)="ER 50%*coûts complets",HLOOKUP(F28,Partenaires!$B$10:$F$21,2,FALSE)="GE",HLOOKUP(F28,Partenaires!$B$10:$F$21,2,FALSE)="ME",HLOOKUP(F28,Partenaires!$B$10:$F$21,2,FALSE)="PE"),20%*U28,IF(HLOOKUP(F28,Partenaires!$B$10:$F$21,2,FALSE)="ER 100%*coûts marginaux",4%*Z28+8%*SUM(W28,Y28,AB28:AD28),0))))</f>
        <v>0</v>
      </c>
      <c r="Y28" s="43" t="str">
        <f>_xlfn.IFNA(IF(VLOOKUP(CONCATENATE($D28,$F28,$G28,Y$3),'Description des coûts'!$D$8:$M$1048576,5,FALSE)=Y$3,VLOOKUP(CONCATENATE($D28,$F28,$G28,Y$3),'Description des coûts'!$D$8:$M$1048576,9,FALSE),0),"")</f>
        <v/>
      </c>
      <c r="Z28" s="43" t="str">
        <f>_xlfn.IFNA(VLOOKUP(D28,Amortissements!$D$8:$O$1048576,8,FALSE),0)</f>
        <v/>
      </c>
      <c r="AA28" s="43" t="str">
        <f>_xlfn.IFNA(IF(VLOOKUP(CONCATENATE($D28,$F28,$G28,AA$3),'Description des coûts'!$D$8:$M$1048576,5,FALSE)=AA$3,VLOOKUP(CONCATENATE($D28,$F28,$G28,AA$3),'Description des coûts'!$D$8:$M$1048576,9,FALSE),0),"")</f>
        <v/>
      </c>
      <c r="AB28" s="43" t="str">
        <f>_xlfn.IFNA(IF(VLOOKUP(CONCATENATE($D28,$F28,$G28,AB$3),'Description des coûts'!$D$8:$M$1048576,5,FALSE)=AB$3,VLOOKUP(CONCATENATE($D28,$F28,$G28,AB$3),'Description des coûts'!$D$8:$M$1048576,9,FALSE),0),"")</f>
        <v/>
      </c>
      <c r="AC28" s="43" t="str">
        <f>_xlfn.IFNA(IF(VLOOKUP(CONCATENATE($D28,$F28,$G28,AC$3),'Description des coûts'!$D$8:$M$1048576,5,FALSE)=AC$3,VLOOKUP(CONCATENATE($D28,$F28,$G28,AC$3),'Description des coûts'!$D$8:$M$1048576,9,FALSE),0),"")</f>
        <v/>
      </c>
      <c r="AD28" s="43" t="str">
        <f>_xlfn.IFNA(IF(VLOOKUP(CONCATENATE($D28,$F28,$G28,AD$3),'Description des coûts'!$D$8:$M$1048576,5,FALSE)=AD$3,VLOOKUP(CONCATENATE($D28,$F28,$G28,AD$3),'Description des coûts'!$D$8:$M$1048576,9,FALSE),0),"")</f>
        <v/>
      </c>
      <c r="AE28" s="36"/>
      <c r="AF28" s="190">
        <f t="shared" si="34"/>
        <v>0</v>
      </c>
      <c r="AG28" s="35"/>
      <c r="AH28" s="191">
        <f>IF(F28="",0,IF(AG28="RI",N(HLOOKUP($F28,Partenaires!$B$10:$F$21,6,FALSE)),IF(AG28="DE",N(HLOOKUP($F28,Partenaires!$B$10:$F$21,7,FALSE)),IF(AG28="PE",N(HLOOKUP($F28,Partenaires!$B$10:$F$21,9,FALSE)),IF(AG28="RD",N(HLOOKUP($F28,Partenaires!$B$10:$F$21,8,FALSE)),0)))))</f>
        <v>0</v>
      </c>
      <c r="AI28" s="192">
        <f>IF(F28="",0,IF(OR(AG28="DE",AG28="NE",AG28="NR",AG28="PE"),0,IF(HLOOKUP(F28,Partenaires!$B$10:$F$21,2,FALSE)="ER 100%*coûts marginaux",AF28-V28,IF(AG28="RI",AF28,0))))</f>
        <v>0</v>
      </c>
      <c r="AJ28" s="192">
        <f t="shared" si="17"/>
        <v>0</v>
      </c>
      <c r="AK28" s="192">
        <f t="shared" si="30"/>
        <v>0</v>
      </c>
      <c r="AL28" s="192">
        <f t="shared" si="18"/>
        <v>0</v>
      </c>
      <c r="AM28" s="192">
        <f>IF(AG28="PE",AL28-(AL28*N(HLOOKUP($F28,Partenaires!$B$10:$F$21,9,FALSE))/N(HLOOKUP($F28,Partenaires!$B$10:$F$21,10,FALSE))),0)</f>
        <v>0</v>
      </c>
      <c r="AN28" s="192">
        <f t="shared" si="31"/>
        <v>0</v>
      </c>
      <c r="AO28" s="192">
        <f t="shared" si="19"/>
        <v>0</v>
      </c>
      <c r="AP28" s="192">
        <f t="shared" si="20"/>
        <v>0</v>
      </c>
      <c r="AQ28" s="192">
        <f t="shared" si="21"/>
        <v>0</v>
      </c>
      <c r="AR28" s="192">
        <f t="shared" si="22"/>
        <v>0</v>
      </c>
      <c r="AS28" s="192">
        <f t="shared" si="35"/>
        <v>0</v>
      </c>
      <c r="AT28" s="192">
        <f>IF(F28="",0,$AU28*N(HLOOKUP($F28,Partenaires!$B$10:$F$21,5,FALSE)))</f>
        <v>0</v>
      </c>
      <c r="AU28" s="192">
        <f t="shared" si="24"/>
        <v>0</v>
      </c>
    </row>
    <row r="29" spans="1:47" ht="18" customHeight="1" x14ac:dyDescent="0.35">
      <c r="A29" s="35"/>
      <c r="B29" s="35"/>
      <c r="C29" s="35"/>
      <c r="D29" s="83" t="str">
        <f t="shared" si="12"/>
        <v/>
      </c>
      <c r="E29" s="84">
        <f>IFERROR(VLOOKUP(D29,'Structure projet '!D:E,2,FALSE),"")</f>
        <v>0</v>
      </c>
      <c r="F29" s="35"/>
      <c r="G29" s="35"/>
      <c r="H29" s="36"/>
      <c r="I29" s="36"/>
      <c r="J29" s="58"/>
      <c r="K29" s="58"/>
      <c r="L29" s="58"/>
      <c r="M29" s="58"/>
      <c r="N29" s="58"/>
      <c r="O29" s="189">
        <f t="shared" si="13"/>
        <v>0</v>
      </c>
      <c r="P29" s="43"/>
      <c r="Q29" s="43"/>
      <c r="R29" s="43"/>
      <c r="S29" s="43"/>
      <c r="T29" s="43"/>
      <c r="U29" s="190">
        <f t="shared" si="14"/>
        <v>0</v>
      </c>
      <c r="V29" s="162"/>
      <c r="W29" s="190">
        <f t="shared" si="33"/>
        <v>0</v>
      </c>
      <c r="X29" s="190">
        <f>IF(F29="",0,IF(AG29="PE",0,IF(OR(HLOOKUP(F29,Partenaires!$B$10:$F$21,2,FALSE)="ER 50%*coûts complets",HLOOKUP(F29,Partenaires!$B$10:$F$21,2,FALSE)="GE",HLOOKUP(F29,Partenaires!$B$10:$F$21,2,FALSE)="ME",HLOOKUP(F29,Partenaires!$B$10:$F$21,2,FALSE)="PE"),20%*U29,IF(HLOOKUP(F29,Partenaires!$B$10:$F$21,2,FALSE)="ER 100%*coûts marginaux",4%*Z29+8%*SUM(W29,Y29,AB29:AD29),0))))</f>
        <v>0</v>
      </c>
      <c r="Y29" s="43" t="str">
        <f>_xlfn.IFNA(IF(VLOOKUP(CONCATENATE($D29,$F29,$G29,Y$3),'Description des coûts'!$D$8:$M$1048576,5,FALSE)=Y$3,VLOOKUP(CONCATENATE($D29,$F29,$G29,Y$3),'Description des coûts'!$D$8:$M$1048576,9,FALSE),0),"")</f>
        <v/>
      </c>
      <c r="Z29" s="43" t="str">
        <f>_xlfn.IFNA(VLOOKUP(D29,Amortissements!$D$8:$O$1048576,8,FALSE),0)</f>
        <v/>
      </c>
      <c r="AA29" s="43" t="str">
        <f>_xlfn.IFNA(IF(VLOOKUP(CONCATENATE($D29,$F29,$G29,AA$3),'Description des coûts'!$D$8:$M$1048576,5,FALSE)=AA$3,VLOOKUP(CONCATENATE($D29,$F29,$G29,AA$3),'Description des coûts'!$D$8:$M$1048576,9,FALSE),0),"")</f>
        <v/>
      </c>
      <c r="AB29" s="43" t="str">
        <f>_xlfn.IFNA(IF(VLOOKUP(CONCATENATE($D29,$F29,$G29,AB$3),'Description des coûts'!$D$8:$M$1048576,5,FALSE)=AB$3,VLOOKUP(CONCATENATE($D29,$F29,$G29,AB$3),'Description des coûts'!$D$8:$M$1048576,9,FALSE),0),"")</f>
        <v/>
      </c>
      <c r="AC29" s="43" t="str">
        <f>_xlfn.IFNA(IF(VLOOKUP(CONCATENATE($D29,$F29,$G29,AC$3),'Description des coûts'!$D$8:$M$1048576,5,FALSE)=AC$3,VLOOKUP(CONCATENATE($D29,$F29,$G29,AC$3),'Description des coûts'!$D$8:$M$1048576,9,FALSE),0),"")</f>
        <v/>
      </c>
      <c r="AD29" s="43" t="str">
        <f>_xlfn.IFNA(IF(VLOOKUP(CONCATENATE($D29,$F29,$G29,AD$3),'Description des coûts'!$D$8:$M$1048576,5,FALSE)=AD$3,VLOOKUP(CONCATENATE($D29,$F29,$G29,AD$3),'Description des coûts'!$D$8:$M$1048576,9,FALSE),0),"")</f>
        <v/>
      </c>
      <c r="AE29" s="36"/>
      <c r="AF29" s="190">
        <f t="shared" si="34"/>
        <v>0</v>
      </c>
      <c r="AG29" s="35"/>
      <c r="AH29" s="191">
        <f>IF(F29="",0,IF(AG29="RI",N(HLOOKUP($F29,Partenaires!$B$10:$F$21,6,FALSE)),IF(AG29="DE",N(HLOOKUP($F29,Partenaires!$B$10:$F$21,7,FALSE)),IF(AG29="PE",N(HLOOKUP($F29,Partenaires!$B$10:$F$21,9,FALSE)),IF(AG29="RD",N(HLOOKUP($F29,Partenaires!$B$10:$F$21,8,FALSE)),0)))))</f>
        <v>0</v>
      </c>
      <c r="AI29" s="192">
        <f>IF(F29="",0,IF(OR(AG29="DE",AG29="NE",AG29="NR",AG29="PE"),0,IF(HLOOKUP(F29,Partenaires!$B$10:$F$21,2,FALSE)="ER 100%*coûts marginaux",AF29-V29,IF(AG29="RI",AF29,0))))</f>
        <v>0</v>
      </c>
      <c r="AJ29" s="192">
        <f t="shared" si="17"/>
        <v>0</v>
      </c>
      <c r="AK29" s="192">
        <f t="shared" si="30"/>
        <v>0</v>
      </c>
      <c r="AL29" s="192">
        <f t="shared" si="18"/>
        <v>0</v>
      </c>
      <c r="AM29" s="192">
        <f>IF(AG29="PE",AL29-(AL29*N(HLOOKUP($F29,Partenaires!$B$10:$F$21,9,FALSE))/N(HLOOKUP($F29,Partenaires!$B$10:$F$21,10,FALSE))),0)</f>
        <v>0</v>
      </c>
      <c r="AN29" s="192">
        <f t="shared" si="31"/>
        <v>0</v>
      </c>
      <c r="AO29" s="192">
        <f t="shared" si="19"/>
        <v>0</v>
      </c>
      <c r="AP29" s="192">
        <f t="shared" si="20"/>
        <v>0</v>
      </c>
      <c r="AQ29" s="192">
        <f t="shared" si="21"/>
        <v>0</v>
      </c>
      <c r="AR29" s="192">
        <f t="shared" si="22"/>
        <v>0</v>
      </c>
      <c r="AS29" s="192">
        <f t="shared" si="35"/>
        <v>0</v>
      </c>
      <c r="AT29" s="192">
        <f>IF(F29="",0,$AU29*N(HLOOKUP($F29,Partenaires!$B$10:$F$21,5,FALSE)))</f>
        <v>0</v>
      </c>
      <c r="AU29" s="192">
        <f t="shared" si="24"/>
        <v>0</v>
      </c>
    </row>
    <row r="30" spans="1:47" ht="18" customHeight="1" x14ac:dyDescent="0.35">
      <c r="A30" s="35"/>
      <c r="B30" s="35"/>
      <c r="C30" s="35"/>
      <c r="D30" s="83" t="str">
        <f t="shared" si="12"/>
        <v/>
      </c>
      <c r="E30" s="84">
        <f>IFERROR(VLOOKUP(D30,'Structure projet '!D:E,2,FALSE),"")</f>
        <v>0</v>
      </c>
      <c r="F30" s="35"/>
      <c r="G30" s="35"/>
      <c r="H30" s="36"/>
      <c r="I30" s="36"/>
      <c r="J30" s="58"/>
      <c r="K30" s="58"/>
      <c r="L30" s="58"/>
      <c r="M30" s="58"/>
      <c r="N30" s="58"/>
      <c r="O30" s="189">
        <f t="shared" si="13"/>
        <v>0</v>
      </c>
      <c r="P30" s="43"/>
      <c r="Q30" s="43"/>
      <c r="R30" s="43"/>
      <c r="S30" s="43"/>
      <c r="T30" s="43"/>
      <c r="U30" s="190">
        <f t="shared" si="14"/>
        <v>0</v>
      </c>
      <c r="V30" s="162"/>
      <c r="W30" s="190">
        <f t="shared" si="33"/>
        <v>0</v>
      </c>
      <c r="X30" s="190">
        <f>IF(F30="",0,IF(AG30="PE",0,IF(OR(HLOOKUP(F30,Partenaires!$B$10:$F$21,2,FALSE)="ER 50%*coûts complets",HLOOKUP(F30,Partenaires!$B$10:$F$21,2,FALSE)="GE",HLOOKUP(F30,Partenaires!$B$10:$F$21,2,FALSE)="ME",HLOOKUP(F30,Partenaires!$B$10:$F$21,2,FALSE)="PE"),20%*U30,IF(HLOOKUP(F30,Partenaires!$B$10:$F$21,2,FALSE)="ER 100%*coûts marginaux",4%*Z30+8%*SUM(W30,Y30,AB30:AD30),0))))</f>
        <v>0</v>
      </c>
      <c r="Y30" s="43" t="str">
        <f>_xlfn.IFNA(IF(VLOOKUP(CONCATENATE($D30,$F30,$G30,Y$3),'Description des coûts'!$D$8:$M$1048576,5,FALSE)=Y$3,VLOOKUP(CONCATENATE($D30,$F30,$G30,Y$3),'Description des coûts'!$D$8:$M$1048576,9,FALSE),0),"")</f>
        <v/>
      </c>
      <c r="Z30" s="43" t="str">
        <f>_xlfn.IFNA(VLOOKUP(D30,Amortissements!$D$8:$O$1048576,8,FALSE),0)</f>
        <v/>
      </c>
      <c r="AA30" s="43" t="str">
        <f>_xlfn.IFNA(IF(VLOOKUP(CONCATENATE($D30,$F30,$G30,AA$3),'Description des coûts'!$D$8:$M$1048576,5,FALSE)=AA$3,VLOOKUP(CONCATENATE($D30,$F30,$G30,AA$3),'Description des coûts'!$D$8:$M$1048576,9,FALSE),0),"")</f>
        <v/>
      </c>
      <c r="AB30" s="43" t="str">
        <f>_xlfn.IFNA(IF(VLOOKUP(CONCATENATE($D30,$F30,$G30,AB$3),'Description des coûts'!$D$8:$M$1048576,5,FALSE)=AB$3,VLOOKUP(CONCATENATE($D30,$F30,$G30,AB$3),'Description des coûts'!$D$8:$M$1048576,9,FALSE),0),"")</f>
        <v/>
      </c>
      <c r="AC30" s="43" t="str">
        <f>_xlfn.IFNA(IF(VLOOKUP(CONCATENATE($D30,$F30,$G30,AC$3),'Description des coûts'!$D$8:$M$1048576,5,FALSE)=AC$3,VLOOKUP(CONCATENATE($D30,$F30,$G30,AC$3),'Description des coûts'!$D$8:$M$1048576,9,FALSE),0),"")</f>
        <v/>
      </c>
      <c r="AD30" s="43" t="str">
        <f>_xlfn.IFNA(IF(VLOOKUP(CONCATENATE($D30,$F30,$G30,AD$3),'Description des coûts'!$D$8:$M$1048576,5,FALSE)=AD$3,VLOOKUP(CONCATENATE($D30,$F30,$G30,AD$3),'Description des coûts'!$D$8:$M$1048576,9,FALSE),0),"")</f>
        <v/>
      </c>
      <c r="AE30" s="36"/>
      <c r="AF30" s="190">
        <f t="shared" si="34"/>
        <v>0</v>
      </c>
      <c r="AG30" s="35"/>
      <c r="AH30" s="191">
        <f>IF(F30="",0,IF(AG30="RI",N(HLOOKUP($F30,Partenaires!$B$10:$F$21,6,FALSE)),IF(AG30="DE",N(HLOOKUP($F30,Partenaires!$B$10:$F$21,7,FALSE)),IF(AG30="PE",N(HLOOKUP($F30,Partenaires!$B$10:$F$21,9,FALSE)),IF(AG30="RD",N(HLOOKUP($F30,Partenaires!$B$10:$F$21,8,FALSE)),0)))))</f>
        <v>0</v>
      </c>
      <c r="AI30" s="192">
        <f>IF(F30="",0,IF(OR(AG30="DE",AG30="NE",AG30="NR",AG30="PE"),0,IF(HLOOKUP(F30,Partenaires!$B$10:$F$21,2,FALSE)="ER 100%*coûts marginaux",AF30-V30,IF(AG30="RI",AF30,0))))</f>
        <v>0</v>
      </c>
      <c r="AJ30" s="192">
        <f t="shared" si="17"/>
        <v>0</v>
      </c>
      <c r="AK30" s="192">
        <f t="shared" si="30"/>
        <v>0</v>
      </c>
      <c r="AL30" s="192">
        <f t="shared" si="18"/>
        <v>0</v>
      </c>
      <c r="AM30" s="192">
        <f>IF(AG30="PE",AL30-(AL30*N(HLOOKUP($F30,Partenaires!$B$10:$F$21,9,FALSE))/N(HLOOKUP($F30,Partenaires!$B$10:$F$21,10,FALSE))),0)</f>
        <v>0</v>
      </c>
      <c r="AN30" s="192">
        <f t="shared" si="31"/>
        <v>0</v>
      </c>
      <c r="AO30" s="192">
        <f t="shared" si="19"/>
        <v>0</v>
      </c>
      <c r="AP30" s="192">
        <f t="shared" si="20"/>
        <v>0</v>
      </c>
      <c r="AQ30" s="192">
        <f t="shared" si="21"/>
        <v>0</v>
      </c>
      <c r="AR30" s="192">
        <f t="shared" si="22"/>
        <v>0</v>
      </c>
      <c r="AS30" s="192">
        <f t="shared" si="35"/>
        <v>0</v>
      </c>
      <c r="AT30" s="192">
        <f>IF(F30="",0,$AU30*N(HLOOKUP($F30,Partenaires!$B$10:$F$21,5,FALSE)))</f>
        <v>0</v>
      </c>
      <c r="AU30" s="192">
        <f t="shared" si="24"/>
        <v>0</v>
      </c>
    </row>
    <row r="31" spans="1:47" ht="18" customHeight="1" x14ac:dyDescent="0.35">
      <c r="A31" s="35"/>
      <c r="B31" s="35"/>
      <c r="C31" s="35"/>
      <c r="D31" s="83" t="str">
        <f t="shared" si="12"/>
        <v/>
      </c>
      <c r="E31" s="84">
        <f>IFERROR(VLOOKUP(D31,'Structure projet '!D:E,2,FALSE),"")</f>
        <v>0</v>
      </c>
      <c r="F31" s="35"/>
      <c r="G31" s="35"/>
      <c r="H31" s="36"/>
      <c r="I31" s="36"/>
      <c r="J31" s="58"/>
      <c r="K31" s="58"/>
      <c r="L31" s="58"/>
      <c r="M31" s="58"/>
      <c r="N31" s="58"/>
      <c r="O31" s="189">
        <f t="shared" si="13"/>
        <v>0</v>
      </c>
      <c r="P31" s="43"/>
      <c r="Q31" s="43"/>
      <c r="R31" s="43"/>
      <c r="S31" s="43"/>
      <c r="T31" s="43"/>
      <c r="U31" s="190">
        <f t="shared" si="14"/>
        <v>0</v>
      </c>
      <c r="V31" s="162"/>
      <c r="W31" s="190">
        <f t="shared" si="33"/>
        <v>0</v>
      </c>
      <c r="X31" s="190">
        <f>IF(F31="",0,IF(AG31="PE",0,IF(OR(HLOOKUP(F31,Partenaires!$B$10:$F$21,2,FALSE)="ER 50%*coûts complets",HLOOKUP(F31,Partenaires!$B$10:$F$21,2,FALSE)="GE",HLOOKUP(F31,Partenaires!$B$10:$F$21,2,FALSE)="ME",HLOOKUP(F31,Partenaires!$B$10:$F$21,2,FALSE)="PE"),20%*U31,IF(HLOOKUP(F31,Partenaires!$B$10:$F$21,2,FALSE)="ER 100%*coûts marginaux",4%*Z31+8%*SUM(W31,Y31,AB31:AD31),0))))</f>
        <v>0</v>
      </c>
      <c r="Y31" s="43" t="str">
        <f>_xlfn.IFNA(IF(VLOOKUP(CONCATENATE($D31,$F31,$G31,Y$3),'Description des coûts'!$D$8:$M$1048576,5,FALSE)=Y$3,VLOOKUP(CONCATENATE($D31,$F31,$G31,Y$3),'Description des coûts'!$D$8:$M$1048576,9,FALSE),0),"")</f>
        <v/>
      </c>
      <c r="Z31" s="43" t="str">
        <f>_xlfn.IFNA(VLOOKUP(D31,Amortissements!$D$8:$O$1048576,8,FALSE),0)</f>
        <v/>
      </c>
      <c r="AA31" s="43" t="str">
        <f>_xlfn.IFNA(IF(VLOOKUP(CONCATENATE($D31,$F31,$G31,AA$3),'Description des coûts'!$D$8:$M$1048576,5,FALSE)=AA$3,VLOOKUP(CONCATENATE($D31,$F31,$G31,AA$3),'Description des coûts'!$D$8:$M$1048576,9,FALSE),0),"")</f>
        <v/>
      </c>
      <c r="AB31" s="43" t="str">
        <f>_xlfn.IFNA(IF(VLOOKUP(CONCATENATE($D31,$F31,$G31,AB$3),'Description des coûts'!$D$8:$M$1048576,5,FALSE)=AB$3,VLOOKUP(CONCATENATE($D31,$F31,$G31,AB$3),'Description des coûts'!$D$8:$M$1048576,9,FALSE),0),"")</f>
        <v/>
      </c>
      <c r="AC31" s="43" t="str">
        <f>_xlfn.IFNA(IF(VLOOKUP(CONCATENATE($D31,$F31,$G31,AC$3),'Description des coûts'!$D$8:$M$1048576,5,FALSE)=AC$3,VLOOKUP(CONCATENATE($D31,$F31,$G31,AC$3),'Description des coûts'!$D$8:$M$1048576,9,FALSE),0),"")</f>
        <v/>
      </c>
      <c r="AD31" s="43" t="str">
        <f>_xlfn.IFNA(IF(VLOOKUP(CONCATENATE($D31,$F31,$G31,AD$3),'Description des coûts'!$D$8:$M$1048576,5,FALSE)=AD$3,VLOOKUP(CONCATENATE($D31,$F31,$G31,AD$3),'Description des coûts'!$D$8:$M$1048576,9,FALSE),0),"")</f>
        <v/>
      </c>
      <c r="AE31" s="36"/>
      <c r="AF31" s="190">
        <f t="shared" si="34"/>
        <v>0</v>
      </c>
      <c r="AG31" s="35"/>
      <c r="AH31" s="191">
        <f>IF(F31="",0,IF(AG31="RI",N(HLOOKUP($F31,Partenaires!$B$10:$F$21,6,FALSE)),IF(AG31="DE",N(HLOOKUP($F31,Partenaires!$B$10:$F$21,7,FALSE)),IF(AG31="PE",N(HLOOKUP($F31,Partenaires!$B$10:$F$21,9,FALSE)),IF(AG31="RD",N(HLOOKUP($F31,Partenaires!$B$10:$F$21,8,FALSE)),0)))))</f>
        <v>0</v>
      </c>
      <c r="AI31" s="192">
        <f>IF(F31="",0,IF(OR(AG31="DE",AG31="NE",AG31="NR",AG31="PE"),0,IF(HLOOKUP(F31,Partenaires!$B$10:$F$21,2,FALSE)="ER 100%*coûts marginaux",AF31-V31,IF(AG31="RI",AF31,0))))</f>
        <v>0</v>
      </c>
      <c r="AJ31" s="192">
        <f t="shared" si="17"/>
        <v>0</v>
      </c>
      <c r="AK31" s="192">
        <f t="shared" si="30"/>
        <v>0</v>
      </c>
      <c r="AL31" s="192">
        <f t="shared" si="18"/>
        <v>0</v>
      </c>
      <c r="AM31" s="192">
        <f>IF(AG31="PE",AL31-(AL31*N(HLOOKUP($F31,Partenaires!$B$10:$F$21,9,FALSE))/N(HLOOKUP($F31,Partenaires!$B$10:$F$21,10,FALSE))),0)</f>
        <v>0</v>
      </c>
      <c r="AN31" s="192">
        <f t="shared" si="31"/>
        <v>0</v>
      </c>
      <c r="AO31" s="192">
        <f t="shared" si="19"/>
        <v>0</v>
      </c>
      <c r="AP31" s="192">
        <f t="shared" si="20"/>
        <v>0</v>
      </c>
      <c r="AQ31" s="192">
        <f t="shared" si="21"/>
        <v>0</v>
      </c>
      <c r="AR31" s="192">
        <f t="shared" si="22"/>
        <v>0</v>
      </c>
      <c r="AS31" s="192">
        <f t="shared" si="35"/>
        <v>0</v>
      </c>
      <c r="AT31" s="192">
        <f>IF(F31="",0,$AU31*N(HLOOKUP($F31,Partenaires!$B$10:$F$21,5,FALSE)))</f>
        <v>0</v>
      </c>
      <c r="AU31" s="192">
        <f t="shared" si="24"/>
        <v>0</v>
      </c>
    </row>
    <row r="32" spans="1:47" ht="18" customHeight="1" x14ac:dyDescent="0.35">
      <c r="A32" s="35"/>
      <c r="B32" s="35"/>
      <c r="C32" s="35"/>
      <c r="D32" s="83" t="str">
        <f t="shared" si="12"/>
        <v/>
      </c>
      <c r="E32" s="84">
        <f>IFERROR(VLOOKUP(D32,'Structure projet '!D:E,2,FALSE),"")</f>
        <v>0</v>
      </c>
      <c r="F32" s="35"/>
      <c r="G32" s="35"/>
      <c r="H32" s="36"/>
      <c r="I32" s="36"/>
      <c r="J32" s="58"/>
      <c r="K32" s="58"/>
      <c r="L32" s="58"/>
      <c r="M32" s="58"/>
      <c r="N32" s="58"/>
      <c r="O32" s="189">
        <f t="shared" si="13"/>
        <v>0</v>
      </c>
      <c r="P32" s="43"/>
      <c r="Q32" s="43"/>
      <c r="R32" s="43"/>
      <c r="S32" s="43"/>
      <c r="T32" s="43"/>
      <c r="U32" s="190">
        <f t="shared" si="14"/>
        <v>0</v>
      </c>
      <c r="V32" s="162"/>
      <c r="W32" s="190">
        <f t="shared" si="33"/>
        <v>0</v>
      </c>
      <c r="X32" s="190">
        <f>IF(F32="",0,IF(AG32="PE",0,IF(OR(HLOOKUP(F32,Partenaires!$B$10:$F$21,2,FALSE)="ER 50%*coûts complets",HLOOKUP(F32,Partenaires!$B$10:$F$21,2,FALSE)="GE",HLOOKUP(F32,Partenaires!$B$10:$F$21,2,FALSE)="ME",HLOOKUP(F32,Partenaires!$B$10:$F$21,2,FALSE)="PE"),20%*U32,IF(HLOOKUP(F32,Partenaires!$B$10:$F$21,2,FALSE)="ER 100%*coûts marginaux",4%*Z32+8%*SUM(W32,Y32,AB32:AD32),0))))</f>
        <v>0</v>
      </c>
      <c r="Y32" s="43" t="str">
        <f>_xlfn.IFNA(IF(VLOOKUP(CONCATENATE($D32,$F32,$G32,Y$3),'Description des coûts'!$D$8:$M$1048576,5,FALSE)=Y$3,VLOOKUP(CONCATENATE($D32,$F32,$G32,Y$3),'Description des coûts'!$D$8:$M$1048576,9,FALSE),0),"")</f>
        <v/>
      </c>
      <c r="Z32" s="43" t="str">
        <f>_xlfn.IFNA(VLOOKUP(D32,Amortissements!$D$8:$O$1048576,8,FALSE),0)</f>
        <v/>
      </c>
      <c r="AA32" s="43" t="str">
        <f>_xlfn.IFNA(IF(VLOOKUP(CONCATENATE($D32,$F32,$G32,AA$3),'Description des coûts'!$D$8:$M$1048576,5,FALSE)=AA$3,VLOOKUP(CONCATENATE($D32,$F32,$G32,AA$3),'Description des coûts'!$D$8:$M$1048576,9,FALSE),0),"")</f>
        <v/>
      </c>
      <c r="AB32" s="43" t="str">
        <f>_xlfn.IFNA(IF(VLOOKUP(CONCATENATE($D32,$F32,$G32,AB$3),'Description des coûts'!$D$8:$M$1048576,5,FALSE)=AB$3,VLOOKUP(CONCATENATE($D32,$F32,$G32,AB$3),'Description des coûts'!$D$8:$M$1048576,9,FALSE),0),"")</f>
        <v/>
      </c>
      <c r="AC32" s="43" t="str">
        <f>_xlfn.IFNA(IF(VLOOKUP(CONCATENATE($D32,$F32,$G32,AC$3),'Description des coûts'!$D$8:$M$1048576,5,FALSE)=AC$3,VLOOKUP(CONCATENATE($D32,$F32,$G32,AC$3),'Description des coûts'!$D$8:$M$1048576,9,FALSE),0),"")</f>
        <v/>
      </c>
      <c r="AD32" s="43" t="str">
        <f>_xlfn.IFNA(IF(VLOOKUP(CONCATENATE($D32,$F32,$G32,AD$3),'Description des coûts'!$D$8:$M$1048576,5,FALSE)=AD$3,VLOOKUP(CONCATENATE($D32,$F32,$G32,AD$3),'Description des coûts'!$D$8:$M$1048576,9,FALSE),0),"")</f>
        <v/>
      </c>
      <c r="AE32" s="36"/>
      <c r="AF32" s="190">
        <f t="shared" si="34"/>
        <v>0</v>
      </c>
      <c r="AG32" s="35"/>
      <c r="AH32" s="191">
        <f>IF(F32="",0,IF(AG32="RI",N(HLOOKUP($F32,Partenaires!$B$10:$F$21,6,FALSE)),IF(AG32="DE",N(HLOOKUP($F32,Partenaires!$B$10:$F$21,7,FALSE)),IF(AG32="PE",N(HLOOKUP($F32,Partenaires!$B$10:$F$21,9,FALSE)),IF(AG32="RD",N(HLOOKUP($F32,Partenaires!$B$10:$F$21,8,FALSE)),0)))))</f>
        <v>0</v>
      </c>
      <c r="AI32" s="192">
        <f>IF(F32="",0,IF(OR(AG32="DE",AG32="NE",AG32="NR",AG32="PE"),0,IF(HLOOKUP(F32,Partenaires!$B$10:$F$21,2,FALSE)="ER 100%*coûts marginaux",AF32-V32,IF(AG32="RI",AF32,0))))</f>
        <v>0</v>
      </c>
      <c r="AJ32" s="192">
        <f t="shared" si="17"/>
        <v>0</v>
      </c>
      <c r="AK32" s="192">
        <f t="shared" si="30"/>
        <v>0</v>
      </c>
      <c r="AL32" s="192">
        <f t="shared" si="18"/>
        <v>0</v>
      </c>
      <c r="AM32" s="192">
        <f>IF(AG32="PE",AL32-(AL32*N(HLOOKUP($F32,Partenaires!$B$10:$F$21,9,FALSE))/N(HLOOKUP($F32,Partenaires!$B$10:$F$21,10,FALSE))),0)</f>
        <v>0</v>
      </c>
      <c r="AN32" s="192">
        <f t="shared" si="31"/>
        <v>0</v>
      </c>
      <c r="AO32" s="192">
        <f t="shared" si="19"/>
        <v>0</v>
      </c>
      <c r="AP32" s="192">
        <f t="shared" si="20"/>
        <v>0</v>
      </c>
      <c r="AQ32" s="192">
        <f t="shared" si="21"/>
        <v>0</v>
      </c>
      <c r="AR32" s="192">
        <f t="shared" si="22"/>
        <v>0</v>
      </c>
      <c r="AS32" s="192">
        <f t="shared" si="35"/>
        <v>0</v>
      </c>
      <c r="AT32" s="192">
        <f>IF(F32="",0,$AU32*N(HLOOKUP($F32,Partenaires!$B$10:$F$21,5,FALSE)))</f>
        <v>0</v>
      </c>
      <c r="AU32" s="192">
        <f t="shared" si="24"/>
        <v>0</v>
      </c>
    </row>
    <row r="33" spans="1:47" ht="18" customHeight="1" x14ac:dyDescent="0.35">
      <c r="A33" s="35"/>
      <c r="B33" s="35"/>
      <c r="C33" s="35"/>
      <c r="D33" s="83" t="str">
        <f t="shared" si="12"/>
        <v/>
      </c>
      <c r="E33" s="84">
        <f>IFERROR(VLOOKUP(D33,'Structure projet '!D:E,2,FALSE),"")</f>
        <v>0</v>
      </c>
      <c r="F33" s="35"/>
      <c r="G33" s="35"/>
      <c r="H33" s="36"/>
      <c r="I33" s="36"/>
      <c r="J33" s="58"/>
      <c r="K33" s="58"/>
      <c r="L33" s="58"/>
      <c r="M33" s="58"/>
      <c r="N33" s="58"/>
      <c r="O33" s="189">
        <f t="shared" si="13"/>
        <v>0</v>
      </c>
      <c r="P33" s="43"/>
      <c r="Q33" s="43"/>
      <c r="R33" s="43"/>
      <c r="S33" s="43"/>
      <c r="T33" s="43"/>
      <c r="U33" s="190">
        <f t="shared" si="14"/>
        <v>0</v>
      </c>
      <c r="V33" s="162"/>
      <c r="W33" s="190">
        <f t="shared" si="33"/>
        <v>0</v>
      </c>
      <c r="X33" s="190">
        <f>IF(F33="",0,IF(AG33="PE",0,IF(OR(HLOOKUP(F33,Partenaires!$B$10:$F$21,2,FALSE)="ER 50%*coûts complets",HLOOKUP(F33,Partenaires!$B$10:$F$21,2,FALSE)="GE",HLOOKUP(F33,Partenaires!$B$10:$F$21,2,FALSE)="ME",HLOOKUP(F33,Partenaires!$B$10:$F$21,2,FALSE)="PE"),20%*U33,IF(HLOOKUP(F33,Partenaires!$B$10:$F$21,2,FALSE)="ER 100%*coûts marginaux",4%*Z33+8%*SUM(W33,Y33,AB33:AD33),0))))</f>
        <v>0</v>
      </c>
      <c r="Y33" s="43" t="str">
        <f>_xlfn.IFNA(IF(VLOOKUP(CONCATENATE($D33,$F33,$G33,Y$3),'Description des coûts'!$D$8:$M$1048576,5,FALSE)=Y$3,VLOOKUP(CONCATENATE($D33,$F33,$G33,Y$3),'Description des coûts'!$D$8:$M$1048576,9,FALSE),0),"")</f>
        <v/>
      </c>
      <c r="Z33" s="43" t="str">
        <f>_xlfn.IFNA(VLOOKUP(D33,Amortissements!$D$8:$O$1048576,8,FALSE),0)</f>
        <v/>
      </c>
      <c r="AA33" s="43" t="str">
        <f>_xlfn.IFNA(IF(VLOOKUP(CONCATENATE($D33,$F33,$G33,AA$3),'Description des coûts'!$D$8:$M$1048576,5,FALSE)=AA$3,VLOOKUP(CONCATENATE($D33,$F33,$G33,AA$3),'Description des coûts'!$D$8:$M$1048576,9,FALSE),0),"")</f>
        <v/>
      </c>
      <c r="AB33" s="43" t="str">
        <f>_xlfn.IFNA(IF(VLOOKUP(CONCATENATE($D33,$F33,$G33,AB$3),'Description des coûts'!$D$8:$M$1048576,5,FALSE)=AB$3,VLOOKUP(CONCATENATE($D33,$F33,$G33,AB$3),'Description des coûts'!$D$8:$M$1048576,9,FALSE),0),"")</f>
        <v/>
      </c>
      <c r="AC33" s="43" t="str">
        <f>_xlfn.IFNA(IF(VLOOKUP(CONCATENATE($D33,$F33,$G33,AC$3),'Description des coûts'!$D$8:$M$1048576,5,FALSE)=AC$3,VLOOKUP(CONCATENATE($D33,$F33,$G33,AC$3),'Description des coûts'!$D$8:$M$1048576,9,FALSE),0),"")</f>
        <v/>
      </c>
      <c r="AD33" s="43" t="str">
        <f>_xlfn.IFNA(IF(VLOOKUP(CONCATENATE($D33,$F33,$G33,AD$3),'Description des coûts'!$D$8:$M$1048576,5,FALSE)=AD$3,VLOOKUP(CONCATENATE($D33,$F33,$G33,AD$3),'Description des coûts'!$D$8:$M$1048576,9,FALSE),0),"")</f>
        <v/>
      </c>
      <c r="AE33" s="36"/>
      <c r="AF33" s="190">
        <f t="shared" si="34"/>
        <v>0</v>
      </c>
      <c r="AG33" s="35"/>
      <c r="AH33" s="191">
        <f>IF(F33="",0,IF(AG33="RI",N(HLOOKUP($F33,Partenaires!$B$10:$F$21,6,FALSE)),IF(AG33="DE",N(HLOOKUP($F33,Partenaires!$B$10:$F$21,7,FALSE)),IF(AG33="PE",N(HLOOKUP($F33,Partenaires!$B$10:$F$21,9,FALSE)),IF(AG33="RD",N(HLOOKUP($F33,Partenaires!$B$10:$F$21,8,FALSE)),0)))))</f>
        <v>0</v>
      </c>
      <c r="AI33" s="192">
        <f>IF(F33="",0,IF(OR(AG33="DE",AG33="NE",AG33="NR",AG33="PE"),0,IF(HLOOKUP(F33,Partenaires!$B$10:$F$21,2,FALSE)="ER 100%*coûts marginaux",AF33-V33,IF(AG33="RI",AF33,0))))</f>
        <v>0</v>
      </c>
      <c r="AJ33" s="192">
        <f t="shared" si="17"/>
        <v>0</v>
      </c>
      <c r="AK33" s="192">
        <f t="shared" si="30"/>
        <v>0</v>
      </c>
      <c r="AL33" s="192">
        <f t="shared" si="18"/>
        <v>0</v>
      </c>
      <c r="AM33" s="192">
        <f>IF(AG33="PE",AL33-(AL33*N(HLOOKUP($F33,Partenaires!$B$10:$F$21,9,FALSE))/N(HLOOKUP($F33,Partenaires!$B$10:$F$21,10,FALSE))),0)</f>
        <v>0</v>
      </c>
      <c r="AN33" s="192">
        <f t="shared" si="31"/>
        <v>0</v>
      </c>
      <c r="AO33" s="192">
        <f t="shared" si="19"/>
        <v>0</v>
      </c>
      <c r="AP33" s="192">
        <f t="shared" si="20"/>
        <v>0</v>
      </c>
      <c r="AQ33" s="192">
        <f t="shared" si="21"/>
        <v>0</v>
      </c>
      <c r="AR33" s="192">
        <f t="shared" si="22"/>
        <v>0</v>
      </c>
      <c r="AS33" s="192">
        <f t="shared" si="35"/>
        <v>0</v>
      </c>
      <c r="AT33" s="192">
        <f>IF(F33="",0,$AU33*N(HLOOKUP($F33,Partenaires!$B$10:$F$21,5,FALSE)))</f>
        <v>0</v>
      </c>
      <c r="AU33" s="192">
        <f t="shared" si="24"/>
        <v>0</v>
      </c>
    </row>
    <row r="34" spans="1:47" ht="18" customHeight="1" x14ac:dyDescent="0.35">
      <c r="A34" s="35"/>
      <c r="B34" s="35"/>
      <c r="C34" s="35"/>
      <c r="D34" s="83" t="str">
        <f t="shared" si="12"/>
        <v/>
      </c>
      <c r="E34" s="84">
        <f>IFERROR(VLOOKUP(D34,'Structure projet '!D:E,2,FALSE),"")</f>
        <v>0</v>
      </c>
      <c r="F34" s="35"/>
      <c r="G34" s="35"/>
      <c r="H34" s="36"/>
      <c r="I34" s="36"/>
      <c r="J34" s="58"/>
      <c r="K34" s="58"/>
      <c r="L34" s="58"/>
      <c r="M34" s="58"/>
      <c r="N34" s="58"/>
      <c r="O34" s="189">
        <f t="shared" si="13"/>
        <v>0</v>
      </c>
      <c r="P34" s="43"/>
      <c r="Q34" s="43"/>
      <c r="R34" s="43"/>
      <c r="S34" s="43"/>
      <c r="T34" s="43"/>
      <c r="U34" s="190">
        <f t="shared" si="14"/>
        <v>0</v>
      </c>
      <c r="V34" s="162"/>
      <c r="W34" s="190">
        <f t="shared" si="33"/>
        <v>0</v>
      </c>
      <c r="X34" s="190">
        <f>IF(F34="",0,IF(AG34="PE",0,IF(OR(HLOOKUP(F34,Partenaires!$B$10:$F$21,2,FALSE)="ER 50%*coûts complets",HLOOKUP(F34,Partenaires!$B$10:$F$21,2,FALSE)="GE",HLOOKUP(F34,Partenaires!$B$10:$F$21,2,FALSE)="ME",HLOOKUP(F34,Partenaires!$B$10:$F$21,2,FALSE)="PE"),20%*U34,IF(HLOOKUP(F34,Partenaires!$B$10:$F$21,2,FALSE)="ER 100%*coûts marginaux",4%*Z34+8%*SUM(W34,Y34,AB34:AD34),0))))</f>
        <v>0</v>
      </c>
      <c r="Y34" s="43" t="str">
        <f>_xlfn.IFNA(IF(VLOOKUP(CONCATENATE($D34,$F34,$G34,Y$3),'Description des coûts'!$D$8:$M$1048576,5,FALSE)=Y$3,VLOOKUP(CONCATENATE($D34,$F34,$G34,Y$3),'Description des coûts'!$D$8:$M$1048576,9,FALSE),0),"")</f>
        <v/>
      </c>
      <c r="Z34" s="43" t="str">
        <f>_xlfn.IFNA(VLOOKUP(D34,Amortissements!$D$8:$O$1048576,8,FALSE),0)</f>
        <v/>
      </c>
      <c r="AA34" s="43" t="str">
        <f>_xlfn.IFNA(IF(VLOOKUP(CONCATENATE($D34,$F34,$G34,AA$3),'Description des coûts'!$D$8:$M$1048576,5,FALSE)=AA$3,VLOOKUP(CONCATENATE($D34,$F34,$G34,AA$3),'Description des coûts'!$D$8:$M$1048576,9,FALSE),0),"")</f>
        <v/>
      </c>
      <c r="AB34" s="43" t="str">
        <f>_xlfn.IFNA(IF(VLOOKUP(CONCATENATE($D34,$F34,$G34,AB$3),'Description des coûts'!$D$8:$M$1048576,5,FALSE)=AB$3,VLOOKUP(CONCATENATE($D34,$F34,$G34,AB$3),'Description des coûts'!$D$8:$M$1048576,9,FALSE),0),"")</f>
        <v/>
      </c>
      <c r="AC34" s="43" t="str">
        <f>_xlfn.IFNA(IF(VLOOKUP(CONCATENATE($D34,$F34,$G34,AC$3),'Description des coûts'!$D$8:$M$1048576,5,FALSE)=AC$3,VLOOKUP(CONCATENATE($D34,$F34,$G34,AC$3),'Description des coûts'!$D$8:$M$1048576,9,FALSE),0),"")</f>
        <v/>
      </c>
      <c r="AD34" s="43" t="str">
        <f>_xlfn.IFNA(IF(VLOOKUP(CONCATENATE($D34,$F34,$G34,AD$3),'Description des coûts'!$D$8:$M$1048576,5,FALSE)=AD$3,VLOOKUP(CONCATENATE($D34,$F34,$G34,AD$3),'Description des coûts'!$D$8:$M$1048576,9,FALSE),0),"")</f>
        <v/>
      </c>
      <c r="AE34" s="36"/>
      <c r="AF34" s="190">
        <f t="shared" si="34"/>
        <v>0</v>
      </c>
      <c r="AG34" s="35"/>
      <c r="AH34" s="191">
        <f>IF(F34="",0,IF(AG34="RI",N(HLOOKUP($F34,Partenaires!$B$10:$F$21,6,FALSE)),IF(AG34="DE",N(HLOOKUP($F34,Partenaires!$B$10:$F$21,7,FALSE)),IF(AG34="PE",N(HLOOKUP($F34,Partenaires!$B$10:$F$21,9,FALSE)),IF(AG34="RD",N(HLOOKUP($F34,Partenaires!$B$10:$F$21,8,FALSE)),0)))))</f>
        <v>0</v>
      </c>
      <c r="AI34" s="192">
        <f>IF(F34="",0,IF(OR(AG34="DE",AG34="NE",AG34="NR",AG34="PE"),0,IF(HLOOKUP(F34,Partenaires!$B$10:$F$21,2,FALSE)="ER 100%*coûts marginaux",AF34-V34,IF(AG34="RI",AF34,0))))</f>
        <v>0</v>
      </c>
      <c r="AJ34" s="192">
        <f t="shared" si="17"/>
        <v>0</v>
      </c>
      <c r="AK34" s="192">
        <f t="shared" si="30"/>
        <v>0</v>
      </c>
      <c r="AL34" s="192">
        <f t="shared" si="18"/>
        <v>0</v>
      </c>
      <c r="AM34" s="192">
        <f>IF(AG34="PE",AL34-(AL34*N(HLOOKUP($F34,Partenaires!$B$10:$F$21,9,FALSE))/N(HLOOKUP($F34,Partenaires!$B$10:$F$21,10,FALSE))),0)</f>
        <v>0</v>
      </c>
      <c r="AN34" s="192">
        <f t="shared" si="31"/>
        <v>0</v>
      </c>
      <c r="AO34" s="192">
        <f t="shared" si="19"/>
        <v>0</v>
      </c>
      <c r="AP34" s="192">
        <f t="shared" si="20"/>
        <v>0</v>
      </c>
      <c r="AQ34" s="192">
        <f t="shared" si="21"/>
        <v>0</v>
      </c>
      <c r="AR34" s="192">
        <f t="shared" si="22"/>
        <v>0</v>
      </c>
      <c r="AS34" s="192">
        <f t="shared" si="35"/>
        <v>0</v>
      </c>
      <c r="AT34" s="192">
        <f>IF(F34="",0,$AU34*N(HLOOKUP($F34,Partenaires!$B$10:$F$21,5,FALSE)))</f>
        <v>0</v>
      </c>
      <c r="AU34" s="192">
        <f t="shared" si="24"/>
        <v>0</v>
      </c>
    </row>
    <row r="35" spans="1:47" ht="18" customHeight="1" x14ac:dyDescent="0.35">
      <c r="A35" s="35"/>
      <c r="B35" s="35"/>
      <c r="C35" s="35"/>
      <c r="D35" s="83" t="str">
        <f t="shared" si="12"/>
        <v/>
      </c>
      <c r="E35" s="84">
        <f>IFERROR(VLOOKUP(D35,'Structure projet '!D:E,2,FALSE),"")</f>
        <v>0</v>
      </c>
      <c r="F35" s="35"/>
      <c r="G35" s="35"/>
      <c r="H35" s="36"/>
      <c r="I35" s="36"/>
      <c r="J35" s="58"/>
      <c r="K35" s="58"/>
      <c r="L35" s="58"/>
      <c r="M35" s="58"/>
      <c r="N35" s="58"/>
      <c r="O35" s="189">
        <f t="shared" si="13"/>
        <v>0</v>
      </c>
      <c r="P35" s="43"/>
      <c r="Q35" s="43"/>
      <c r="R35" s="43"/>
      <c r="S35" s="43"/>
      <c r="T35" s="43"/>
      <c r="U35" s="190">
        <f t="shared" si="14"/>
        <v>0</v>
      </c>
      <c r="V35" s="162"/>
      <c r="W35" s="190">
        <f t="shared" si="33"/>
        <v>0</v>
      </c>
      <c r="X35" s="190">
        <f>IF(F35="",0,IF(AG35="PE",0,IF(OR(HLOOKUP(F35,Partenaires!$B$10:$F$21,2,FALSE)="ER 50%*coûts complets",HLOOKUP(F35,Partenaires!$B$10:$F$21,2,FALSE)="GE",HLOOKUP(F35,Partenaires!$B$10:$F$21,2,FALSE)="ME",HLOOKUP(F35,Partenaires!$B$10:$F$21,2,FALSE)="PE"),20%*U35,IF(HLOOKUP(F35,Partenaires!$B$10:$F$21,2,FALSE)="ER 100%*coûts marginaux",4%*Z35+8%*SUM(W35,Y35,AB35:AD35),0))))</f>
        <v>0</v>
      </c>
      <c r="Y35" s="43" t="str">
        <f>_xlfn.IFNA(IF(VLOOKUP(CONCATENATE($D35,$F35,$G35,Y$3),'Description des coûts'!$D$8:$M$1048576,5,FALSE)=Y$3,VLOOKUP(CONCATENATE($D35,$F35,$G35,Y$3),'Description des coûts'!$D$8:$M$1048576,9,FALSE),0),"")</f>
        <v/>
      </c>
      <c r="Z35" s="43" t="str">
        <f>_xlfn.IFNA(VLOOKUP(D35,Amortissements!$D$8:$O$1048576,8,FALSE),0)</f>
        <v/>
      </c>
      <c r="AA35" s="43" t="str">
        <f>_xlfn.IFNA(IF(VLOOKUP(CONCATENATE($D35,$F35,$G35,AA$3),'Description des coûts'!$D$8:$M$1048576,5,FALSE)=AA$3,VLOOKUP(CONCATENATE($D35,$F35,$G35,AA$3),'Description des coûts'!$D$8:$M$1048576,9,FALSE),0),"")</f>
        <v/>
      </c>
      <c r="AB35" s="43" t="str">
        <f>_xlfn.IFNA(IF(VLOOKUP(CONCATENATE($D35,$F35,$G35,AB$3),'Description des coûts'!$D$8:$M$1048576,5,FALSE)=AB$3,VLOOKUP(CONCATENATE($D35,$F35,$G35,AB$3),'Description des coûts'!$D$8:$M$1048576,9,FALSE),0),"")</f>
        <v/>
      </c>
      <c r="AC35" s="43" t="str">
        <f>_xlfn.IFNA(IF(VLOOKUP(CONCATENATE($D35,$F35,$G35,AC$3),'Description des coûts'!$D$8:$M$1048576,5,FALSE)=AC$3,VLOOKUP(CONCATENATE($D35,$F35,$G35,AC$3),'Description des coûts'!$D$8:$M$1048576,9,FALSE),0),"")</f>
        <v/>
      </c>
      <c r="AD35" s="43" t="str">
        <f>_xlfn.IFNA(IF(VLOOKUP(CONCATENATE($D35,$F35,$G35,AD$3),'Description des coûts'!$D$8:$M$1048576,5,FALSE)=AD$3,VLOOKUP(CONCATENATE($D35,$F35,$G35,AD$3),'Description des coûts'!$D$8:$M$1048576,9,FALSE),0),"")</f>
        <v/>
      </c>
      <c r="AE35" s="36"/>
      <c r="AF35" s="190">
        <f t="shared" si="34"/>
        <v>0</v>
      </c>
      <c r="AG35" s="35"/>
      <c r="AH35" s="191">
        <f>IF(F35="",0,IF(AG35="RI",N(HLOOKUP($F35,Partenaires!$B$10:$F$21,6,FALSE)),IF(AG35="DE",N(HLOOKUP($F35,Partenaires!$B$10:$F$21,7,FALSE)),IF(AG35="PE",N(HLOOKUP($F35,Partenaires!$B$10:$F$21,9,FALSE)),IF(AG35="RD",N(HLOOKUP($F35,Partenaires!$B$10:$F$21,8,FALSE)),0)))))</f>
        <v>0</v>
      </c>
      <c r="AI35" s="192">
        <f>IF(F35="",0,IF(OR(AG35="DE",AG35="NE",AG35="NR",AG35="PE"),0,IF(HLOOKUP(F35,Partenaires!$B$10:$F$21,2,FALSE)="ER 100%*coûts marginaux",AF35-V35,IF(AG35="RI",AF35,0))))</f>
        <v>0</v>
      </c>
      <c r="AJ35" s="192">
        <f t="shared" si="17"/>
        <v>0</v>
      </c>
      <c r="AK35" s="192">
        <f t="shared" si="30"/>
        <v>0</v>
      </c>
      <c r="AL35" s="192">
        <f t="shared" si="18"/>
        <v>0</v>
      </c>
      <c r="AM35" s="192">
        <f>IF(AG35="PE",AL35-(AL35*N(HLOOKUP($F35,Partenaires!$B$10:$F$21,9,FALSE))/N(HLOOKUP($F35,Partenaires!$B$10:$F$21,10,FALSE))),0)</f>
        <v>0</v>
      </c>
      <c r="AN35" s="192">
        <f t="shared" si="31"/>
        <v>0</v>
      </c>
      <c r="AO35" s="192">
        <f t="shared" si="19"/>
        <v>0</v>
      </c>
      <c r="AP35" s="192">
        <f t="shared" si="20"/>
        <v>0</v>
      </c>
      <c r="AQ35" s="192">
        <f t="shared" si="21"/>
        <v>0</v>
      </c>
      <c r="AR35" s="192">
        <f t="shared" si="22"/>
        <v>0</v>
      </c>
      <c r="AS35" s="192">
        <f t="shared" si="35"/>
        <v>0</v>
      </c>
      <c r="AT35" s="192">
        <f>IF(F35="",0,$AU35*N(HLOOKUP($F35,Partenaires!$B$10:$F$21,5,FALSE)))</f>
        <v>0</v>
      </c>
      <c r="AU35" s="192">
        <f t="shared" si="24"/>
        <v>0</v>
      </c>
    </row>
    <row r="36" spans="1:47" ht="18" customHeight="1" x14ac:dyDescent="0.35">
      <c r="A36" s="35"/>
      <c r="B36" s="35"/>
      <c r="C36" s="35"/>
      <c r="D36" s="83" t="str">
        <f t="shared" si="12"/>
        <v/>
      </c>
      <c r="E36" s="84">
        <f>IFERROR(VLOOKUP(D36,'Structure projet '!D:E,2,FALSE),"")</f>
        <v>0</v>
      </c>
      <c r="F36" s="35"/>
      <c r="G36" s="35"/>
      <c r="H36" s="36"/>
      <c r="I36" s="36"/>
      <c r="J36" s="58"/>
      <c r="K36" s="58"/>
      <c r="L36" s="58"/>
      <c r="M36" s="58"/>
      <c r="N36" s="58"/>
      <c r="O36" s="189">
        <f t="shared" si="13"/>
        <v>0</v>
      </c>
      <c r="P36" s="43"/>
      <c r="Q36" s="43"/>
      <c r="R36" s="43"/>
      <c r="S36" s="43"/>
      <c r="T36" s="43"/>
      <c r="U36" s="190">
        <f t="shared" si="14"/>
        <v>0</v>
      </c>
      <c r="V36" s="162"/>
      <c r="W36" s="190">
        <f t="shared" si="33"/>
        <v>0</v>
      </c>
      <c r="X36" s="190">
        <f>IF(F36="",0,IF(AG36="PE",0,IF(OR(HLOOKUP(F36,Partenaires!$B$10:$F$21,2,FALSE)="ER 50%*coûts complets",HLOOKUP(F36,Partenaires!$B$10:$F$21,2,FALSE)="GE",HLOOKUP(F36,Partenaires!$B$10:$F$21,2,FALSE)="ME",HLOOKUP(F36,Partenaires!$B$10:$F$21,2,FALSE)="PE"),20%*U36,IF(HLOOKUP(F36,Partenaires!$B$10:$F$21,2,FALSE)="ER 100%*coûts marginaux",4%*Z36+8%*SUM(W36,Y36,AB36:AD36),0))))</f>
        <v>0</v>
      </c>
      <c r="Y36" s="43" t="str">
        <f>_xlfn.IFNA(IF(VLOOKUP(CONCATENATE($D36,$F36,$G36,Y$3),'Description des coûts'!$D$8:$M$1048576,5,FALSE)=Y$3,VLOOKUP(CONCATENATE($D36,$F36,$G36,Y$3),'Description des coûts'!$D$8:$M$1048576,9,FALSE),0),"")</f>
        <v/>
      </c>
      <c r="Z36" s="43" t="str">
        <f>_xlfn.IFNA(VLOOKUP(D36,Amortissements!$D$8:$O$1048576,8,FALSE),0)</f>
        <v/>
      </c>
      <c r="AA36" s="43" t="str">
        <f>_xlfn.IFNA(IF(VLOOKUP(CONCATENATE($D36,$F36,$G36,AA$3),'Description des coûts'!$D$8:$M$1048576,5,FALSE)=AA$3,VLOOKUP(CONCATENATE($D36,$F36,$G36,AA$3),'Description des coûts'!$D$8:$M$1048576,9,FALSE),0),"")</f>
        <v/>
      </c>
      <c r="AB36" s="43" t="str">
        <f>_xlfn.IFNA(IF(VLOOKUP(CONCATENATE($D36,$F36,$G36,AB$3),'Description des coûts'!$D$8:$M$1048576,5,FALSE)=AB$3,VLOOKUP(CONCATENATE($D36,$F36,$G36,AB$3),'Description des coûts'!$D$8:$M$1048576,9,FALSE),0),"")</f>
        <v/>
      </c>
      <c r="AC36" s="43" t="str">
        <f>_xlfn.IFNA(IF(VLOOKUP(CONCATENATE($D36,$F36,$G36,AC$3),'Description des coûts'!$D$8:$M$1048576,5,FALSE)=AC$3,VLOOKUP(CONCATENATE($D36,$F36,$G36,AC$3),'Description des coûts'!$D$8:$M$1048576,9,FALSE),0),"")</f>
        <v/>
      </c>
      <c r="AD36" s="43" t="str">
        <f>_xlfn.IFNA(IF(VLOOKUP(CONCATENATE($D36,$F36,$G36,AD$3),'Description des coûts'!$D$8:$M$1048576,5,FALSE)=AD$3,VLOOKUP(CONCATENATE($D36,$F36,$G36,AD$3),'Description des coûts'!$D$8:$M$1048576,9,FALSE),0),"")</f>
        <v/>
      </c>
      <c r="AE36" s="36"/>
      <c r="AF36" s="190">
        <f t="shared" si="34"/>
        <v>0</v>
      </c>
      <c r="AG36" s="35"/>
      <c r="AH36" s="191">
        <f>IF(F36="",0,IF(AG36="RI",N(HLOOKUP($F36,Partenaires!$B$10:$F$21,6,FALSE)),IF(AG36="DE",N(HLOOKUP($F36,Partenaires!$B$10:$F$21,7,FALSE)),IF(AG36="PE",N(HLOOKUP($F36,Partenaires!$B$10:$F$21,9,FALSE)),IF(AG36="RD",N(HLOOKUP($F36,Partenaires!$B$10:$F$21,8,FALSE)),0)))))</f>
        <v>0</v>
      </c>
      <c r="AI36" s="192">
        <f>IF(F36="",0,IF(OR(AG36="DE",AG36="NE",AG36="NR",AG36="PE"),0,IF(HLOOKUP(F36,Partenaires!$B$10:$F$21,2,FALSE)="ER 100%*coûts marginaux",AF36-V36,IF(AG36="RI",AF36,0))))</f>
        <v>0</v>
      </c>
      <c r="AJ36" s="192">
        <f t="shared" si="17"/>
        <v>0</v>
      </c>
      <c r="AK36" s="192">
        <f t="shared" si="30"/>
        <v>0</v>
      </c>
      <c r="AL36" s="192">
        <f t="shared" si="18"/>
        <v>0</v>
      </c>
      <c r="AM36" s="192">
        <f>IF(AG36="PE",AL36-(AL36*N(HLOOKUP($F36,Partenaires!$B$10:$F$21,9,FALSE))/N(HLOOKUP($F36,Partenaires!$B$10:$F$21,10,FALSE))),0)</f>
        <v>0</v>
      </c>
      <c r="AN36" s="192">
        <f t="shared" si="31"/>
        <v>0</v>
      </c>
      <c r="AO36" s="192">
        <f t="shared" si="19"/>
        <v>0</v>
      </c>
      <c r="AP36" s="192">
        <f t="shared" si="20"/>
        <v>0</v>
      </c>
      <c r="AQ36" s="192">
        <f t="shared" si="21"/>
        <v>0</v>
      </c>
      <c r="AR36" s="192">
        <f t="shared" si="22"/>
        <v>0</v>
      </c>
      <c r="AS36" s="192">
        <f t="shared" si="35"/>
        <v>0</v>
      </c>
      <c r="AT36" s="192">
        <f>IF(F36="",0,$AU36*N(HLOOKUP($F36,Partenaires!$B$10:$F$21,5,FALSE)))</f>
        <v>0</v>
      </c>
      <c r="AU36" s="192">
        <f t="shared" si="24"/>
        <v>0</v>
      </c>
    </row>
    <row r="37" spans="1:47" ht="18" customHeight="1" x14ac:dyDescent="0.35">
      <c r="A37" s="35"/>
      <c r="B37" s="35"/>
      <c r="C37" s="35"/>
      <c r="D37" s="83" t="str">
        <f t="shared" si="12"/>
        <v/>
      </c>
      <c r="E37" s="84">
        <f>IFERROR(VLOOKUP(D37,'Structure projet '!D:E,2,FALSE),"")</f>
        <v>0</v>
      </c>
      <c r="F37" s="35"/>
      <c r="G37" s="35"/>
      <c r="H37" s="36"/>
      <c r="I37" s="36"/>
      <c r="J37" s="58"/>
      <c r="K37" s="58"/>
      <c r="L37" s="58"/>
      <c r="M37" s="58"/>
      <c r="N37" s="58"/>
      <c r="O37" s="189">
        <f t="shared" si="13"/>
        <v>0</v>
      </c>
      <c r="P37" s="43"/>
      <c r="Q37" s="43"/>
      <c r="R37" s="43"/>
      <c r="S37" s="43"/>
      <c r="T37" s="43"/>
      <c r="U37" s="190">
        <f t="shared" si="14"/>
        <v>0</v>
      </c>
      <c r="V37" s="162"/>
      <c r="W37" s="190">
        <f t="shared" si="33"/>
        <v>0</v>
      </c>
      <c r="X37" s="190">
        <f>IF(F37="",0,IF(AG37="PE",0,IF(OR(HLOOKUP(F37,Partenaires!$B$10:$F$21,2,FALSE)="ER 50%*coûts complets",HLOOKUP(F37,Partenaires!$B$10:$F$21,2,FALSE)="GE",HLOOKUP(F37,Partenaires!$B$10:$F$21,2,FALSE)="ME",HLOOKUP(F37,Partenaires!$B$10:$F$21,2,FALSE)="PE"),20%*U37,IF(HLOOKUP(F37,Partenaires!$B$10:$F$21,2,FALSE)="ER 100%*coûts marginaux",4%*Z37+8%*SUM(W37,Y37,AB37:AD37),0))))</f>
        <v>0</v>
      </c>
      <c r="Y37" s="43" t="str">
        <f>_xlfn.IFNA(IF(VLOOKUP(CONCATENATE($D37,$F37,$G37,Y$3),'Description des coûts'!$D$8:$M$1048576,5,FALSE)=Y$3,VLOOKUP(CONCATENATE($D37,$F37,$G37,Y$3),'Description des coûts'!$D$8:$M$1048576,9,FALSE),0),"")</f>
        <v/>
      </c>
      <c r="Z37" s="43" t="str">
        <f>_xlfn.IFNA(VLOOKUP(D37,Amortissements!$D$8:$O$1048576,8,FALSE),0)</f>
        <v/>
      </c>
      <c r="AA37" s="43" t="str">
        <f>_xlfn.IFNA(IF(VLOOKUP(CONCATENATE($D37,$F37,$G37,AA$3),'Description des coûts'!$D$8:$M$1048576,5,FALSE)=AA$3,VLOOKUP(CONCATENATE($D37,$F37,$G37,AA$3),'Description des coûts'!$D$8:$M$1048576,9,FALSE),0),"")</f>
        <v/>
      </c>
      <c r="AB37" s="43" t="str">
        <f>_xlfn.IFNA(IF(VLOOKUP(CONCATENATE($D37,$F37,$G37,AB$3),'Description des coûts'!$D$8:$M$1048576,5,FALSE)=AB$3,VLOOKUP(CONCATENATE($D37,$F37,$G37,AB$3),'Description des coûts'!$D$8:$M$1048576,9,FALSE),0),"")</f>
        <v/>
      </c>
      <c r="AC37" s="43" t="str">
        <f>_xlfn.IFNA(IF(VLOOKUP(CONCATENATE($D37,$F37,$G37,AC$3),'Description des coûts'!$D$8:$M$1048576,5,FALSE)=AC$3,VLOOKUP(CONCATENATE($D37,$F37,$G37,AC$3),'Description des coûts'!$D$8:$M$1048576,9,FALSE),0),"")</f>
        <v/>
      </c>
      <c r="AD37" s="43" t="str">
        <f>_xlfn.IFNA(IF(VLOOKUP(CONCATENATE($D37,$F37,$G37,AD$3),'Description des coûts'!$D$8:$M$1048576,5,FALSE)=AD$3,VLOOKUP(CONCATENATE($D37,$F37,$G37,AD$3),'Description des coûts'!$D$8:$M$1048576,9,FALSE),0),"")</f>
        <v/>
      </c>
      <c r="AE37" s="36"/>
      <c r="AF37" s="190">
        <f t="shared" si="34"/>
        <v>0</v>
      </c>
      <c r="AG37" s="35"/>
      <c r="AH37" s="191">
        <f>IF(F37="",0,IF(AG37="RI",N(HLOOKUP($F37,Partenaires!$B$10:$F$21,6,FALSE)),IF(AG37="DE",N(HLOOKUP($F37,Partenaires!$B$10:$F$21,7,FALSE)),IF(AG37="PE",N(HLOOKUP($F37,Partenaires!$B$10:$F$21,9,FALSE)),IF(AG37="RD",N(HLOOKUP($F37,Partenaires!$B$10:$F$21,8,FALSE)),0)))))</f>
        <v>0</v>
      </c>
      <c r="AI37" s="192">
        <f>IF(F37="",0,IF(OR(AG37="DE",AG37="NE",AG37="NR",AG37="PE"),0,IF(HLOOKUP(F37,Partenaires!$B$10:$F$21,2,FALSE)="ER 100%*coûts marginaux",AF37-V37,IF(AG37="RI",AF37,0))))</f>
        <v>0</v>
      </c>
      <c r="AJ37" s="192">
        <f t="shared" si="17"/>
        <v>0</v>
      </c>
      <c r="AK37" s="192">
        <f t="shared" si="30"/>
        <v>0</v>
      </c>
      <c r="AL37" s="192">
        <f t="shared" si="18"/>
        <v>0</v>
      </c>
      <c r="AM37" s="192">
        <f>IF(AG37="PE",AL37-(AL37*N(HLOOKUP($F37,Partenaires!$B$10:$F$21,9,FALSE))/N(HLOOKUP($F37,Partenaires!$B$10:$F$21,10,FALSE))),0)</f>
        <v>0</v>
      </c>
      <c r="AN37" s="192">
        <f t="shared" si="31"/>
        <v>0</v>
      </c>
      <c r="AO37" s="192">
        <f t="shared" si="19"/>
        <v>0</v>
      </c>
      <c r="AP37" s="192">
        <f t="shared" si="20"/>
        <v>0</v>
      </c>
      <c r="AQ37" s="192">
        <f t="shared" si="21"/>
        <v>0</v>
      </c>
      <c r="AR37" s="192">
        <f t="shared" si="22"/>
        <v>0</v>
      </c>
      <c r="AS37" s="192">
        <f t="shared" si="35"/>
        <v>0</v>
      </c>
      <c r="AT37" s="192">
        <f>IF(F37="",0,$AU37*N(HLOOKUP($F37,Partenaires!$B$10:$F$21,5,FALSE)))</f>
        <v>0</v>
      </c>
      <c r="AU37" s="192">
        <f t="shared" si="24"/>
        <v>0</v>
      </c>
    </row>
    <row r="38" spans="1:47" ht="18" customHeight="1" x14ac:dyDescent="0.35">
      <c r="A38" s="35"/>
      <c r="B38" s="35"/>
      <c r="C38" s="35"/>
      <c r="D38" s="83" t="str">
        <f t="shared" si="12"/>
        <v/>
      </c>
      <c r="E38" s="84">
        <f>IFERROR(VLOOKUP(D38,'Structure projet '!D:E,2,FALSE),"")</f>
        <v>0</v>
      </c>
      <c r="F38" s="35"/>
      <c r="G38" s="35"/>
      <c r="H38" s="36"/>
      <c r="I38" s="36"/>
      <c r="J38" s="58"/>
      <c r="K38" s="58"/>
      <c r="L38" s="58"/>
      <c r="M38" s="58"/>
      <c r="N38" s="58"/>
      <c r="O38" s="189">
        <f t="shared" si="13"/>
        <v>0</v>
      </c>
      <c r="P38" s="43"/>
      <c r="Q38" s="43"/>
      <c r="R38" s="43"/>
      <c r="S38" s="43"/>
      <c r="T38" s="43"/>
      <c r="U38" s="190">
        <f t="shared" si="14"/>
        <v>0</v>
      </c>
      <c r="V38" s="162"/>
      <c r="W38" s="190">
        <f t="shared" si="33"/>
        <v>0</v>
      </c>
      <c r="X38" s="190">
        <f>IF(F38="",0,IF(AG38="PE",0,IF(OR(HLOOKUP(F38,Partenaires!$B$10:$F$21,2,FALSE)="ER 50%*coûts complets",HLOOKUP(F38,Partenaires!$B$10:$F$21,2,FALSE)="GE",HLOOKUP(F38,Partenaires!$B$10:$F$21,2,FALSE)="ME",HLOOKUP(F38,Partenaires!$B$10:$F$21,2,FALSE)="PE"),20%*U38,IF(HLOOKUP(F38,Partenaires!$B$10:$F$21,2,FALSE)="ER 100%*coûts marginaux",4%*Z38+8%*SUM(W38,Y38,AB38:AD38),0))))</f>
        <v>0</v>
      </c>
      <c r="Y38" s="43" t="str">
        <f>_xlfn.IFNA(IF(VLOOKUP(CONCATENATE($D38,$F38,$G38,Y$3),'Description des coûts'!$D$8:$M$1048576,5,FALSE)=Y$3,VLOOKUP(CONCATENATE($D38,$F38,$G38,Y$3),'Description des coûts'!$D$8:$M$1048576,9,FALSE),0),"")</f>
        <v/>
      </c>
      <c r="Z38" s="43" t="str">
        <f>_xlfn.IFNA(VLOOKUP(D38,Amortissements!$D$8:$O$1048576,8,FALSE),0)</f>
        <v/>
      </c>
      <c r="AA38" s="43" t="str">
        <f>_xlfn.IFNA(IF(VLOOKUP(CONCATENATE($D38,$F38,$G38,AA$3),'Description des coûts'!$D$8:$M$1048576,5,FALSE)=AA$3,VLOOKUP(CONCATENATE($D38,$F38,$G38,AA$3),'Description des coûts'!$D$8:$M$1048576,9,FALSE),0),"")</f>
        <v/>
      </c>
      <c r="AB38" s="43" t="str">
        <f>_xlfn.IFNA(IF(VLOOKUP(CONCATENATE($D38,$F38,$G38,AB$3),'Description des coûts'!$D$8:$M$1048576,5,FALSE)=AB$3,VLOOKUP(CONCATENATE($D38,$F38,$G38,AB$3),'Description des coûts'!$D$8:$M$1048576,9,FALSE),0),"")</f>
        <v/>
      </c>
      <c r="AC38" s="43" t="str">
        <f>_xlfn.IFNA(IF(VLOOKUP(CONCATENATE($D38,$F38,$G38,AC$3),'Description des coûts'!$D$8:$M$1048576,5,FALSE)=AC$3,VLOOKUP(CONCATENATE($D38,$F38,$G38,AC$3),'Description des coûts'!$D$8:$M$1048576,9,FALSE),0),"")</f>
        <v/>
      </c>
      <c r="AD38" s="43" t="str">
        <f>_xlfn.IFNA(IF(VLOOKUP(CONCATENATE($D38,$F38,$G38,AD$3),'Description des coûts'!$D$8:$M$1048576,5,FALSE)=AD$3,VLOOKUP(CONCATENATE($D38,$F38,$G38,AD$3),'Description des coûts'!$D$8:$M$1048576,9,FALSE),0),"")</f>
        <v/>
      </c>
      <c r="AE38" s="36"/>
      <c r="AF38" s="190">
        <f t="shared" si="34"/>
        <v>0</v>
      </c>
      <c r="AG38" s="35"/>
      <c r="AH38" s="191">
        <f>IF(F38="",0,IF(AG38="RI",N(HLOOKUP($F38,Partenaires!$B$10:$F$21,6,FALSE)),IF(AG38="DE",N(HLOOKUP($F38,Partenaires!$B$10:$F$21,7,FALSE)),IF(AG38="PE",N(HLOOKUP($F38,Partenaires!$B$10:$F$21,9,FALSE)),IF(AG38="RD",N(HLOOKUP($F38,Partenaires!$B$10:$F$21,8,FALSE)),0)))))</f>
        <v>0</v>
      </c>
      <c r="AI38" s="192">
        <f>IF(F38="",0,IF(OR(AG38="DE",AG38="NE",AG38="NR",AG38="PE"),0,IF(HLOOKUP(F38,Partenaires!$B$10:$F$21,2,FALSE)="ER 100%*coûts marginaux",AF38-V38,IF(AG38="RI",AF38,0))))</f>
        <v>0</v>
      </c>
      <c r="AJ38" s="192">
        <f t="shared" si="17"/>
        <v>0</v>
      </c>
      <c r="AK38" s="192">
        <f t="shared" si="30"/>
        <v>0</v>
      </c>
      <c r="AL38" s="192">
        <f t="shared" si="18"/>
        <v>0</v>
      </c>
      <c r="AM38" s="192">
        <f>IF(AG38="PE",AL38-(AL38*N(HLOOKUP($F38,Partenaires!$B$10:$F$21,9,FALSE))/N(HLOOKUP($F38,Partenaires!$B$10:$F$21,10,FALSE))),0)</f>
        <v>0</v>
      </c>
      <c r="AN38" s="192">
        <f t="shared" si="31"/>
        <v>0</v>
      </c>
      <c r="AO38" s="192">
        <f t="shared" si="19"/>
        <v>0</v>
      </c>
      <c r="AP38" s="192">
        <f t="shared" si="20"/>
        <v>0</v>
      </c>
      <c r="AQ38" s="192">
        <f t="shared" si="21"/>
        <v>0</v>
      </c>
      <c r="AR38" s="192">
        <f t="shared" si="22"/>
        <v>0</v>
      </c>
      <c r="AS38" s="192">
        <f t="shared" si="35"/>
        <v>0</v>
      </c>
      <c r="AT38" s="192">
        <f>IF(F38="",0,$AU38*N(HLOOKUP($F38,Partenaires!$B$10:$F$21,5,FALSE)))</f>
        <v>0</v>
      </c>
      <c r="AU38" s="192">
        <f t="shared" si="24"/>
        <v>0</v>
      </c>
    </row>
    <row r="39" spans="1:47" ht="18" customHeight="1" x14ac:dyDescent="0.35">
      <c r="A39" s="35"/>
      <c r="B39" s="35"/>
      <c r="C39" s="35"/>
      <c r="D39" s="83" t="str">
        <f t="shared" si="12"/>
        <v/>
      </c>
      <c r="E39" s="84">
        <f>IFERROR(VLOOKUP(D39,'Structure projet '!D:E,2,FALSE),"")</f>
        <v>0</v>
      </c>
      <c r="F39" s="35"/>
      <c r="G39" s="35"/>
      <c r="H39" s="36"/>
      <c r="I39" s="36"/>
      <c r="J39" s="58"/>
      <c r="K39" s="58"/>
      <c r="L39" s="58"/>
      <c r="M39" s="58"/>
      <c r="N39" s="58"/>
      <c r="O39" s="189">
        <f t="shared" si="13"/>
        <v>0</v>
      </c>
      <c r="P39" s="43"/>
      <c r="Q39" s="43"/>
      <c r="R39" s="43"/>
      <c r="S39" s="43"/>
      <c r="T39" s="43"/>
      <c r="U39" s="190">
        <f t="shared" si="14"/>
        <v>0</v>
      </c>
      <c r="V39" s="162"/>
      <c r="W39" s="190">
        <f t="shared" si="33"/>
        <v>0</v>
      </c>
      <c r="X39" s="190">
        <f>IF(F39="",0,IF(AG39="PE",0,IF(OR(HLOOKUP(F39,Partenaires!$B$10:$F$21,2,FALSE)="ER 50%*coûts complets",HLOOKUP(F39,Partenaires!$B$10:$F$21,2,FALSE)="GE",HLOOKUP(F39,Partenaires!$B$10:$F$21,2,FALSE)="ME",HLOOKUP(F39,Partenaires!$B$10:$F$21,2,FALSE)="PE"),20%*U39,IF(HLOOKUP(F39,Partenaires!$B$10:$F$21,2,FALSE)="ER 100%*coûts marginaux",4%*Z39+8%*SUM(W39,Y39,AB39:AD39),0))))</f>
        <v>0</v>
      </c>
      <c r="Y39" s="43" t="str">
        <f>_xlfn.IFNA(IF(VLOOKUP(CONCATENATE($D39,$F39,$G39,Y$3),'Description des coûts'!$D$8:$M$1048576,5,FALSE)=Y$3,VLOOKUP(CONCATENATE($D39,$F39,$G39,Y$3),'Description des coûts'!$D$8:$M$1048576,9,FALSE),0),"")</f>
        <v/>
      </c>
      <c r="Z39" s="43" t="str">
        <f>_xlfn.IFNA(VLOOKUP(D39,Amortissements!$D$8:$O$1048576,8,FALSE),0)</f>
        <v/>
      </c>
      <c r="AA39" s="43" t="str">
        <f>_xlfn.IFNA(IF(VLOOKUP(CONCATENATE($D39,$F39,$G39,AA$3),'Description des coûts'!$D$8:$M$1048576,5,FALSE)=AA$3,VLOOKUP(CONCATENATE($D39,$F39,$G39,AA$3),'Description des coûts'!$D$8:$M$1048576,9,FALSE),0),"")</f>
        <v/>
      </c>
      <c r="AB39" s="43" t="str">
        <f>_xlfn.IFNA(IF(VLOOKUP(CONCATENATE($D39,$F39,$G39,AB$3),'Description des coûts'!$D$8:$M$1048576,5,FALSE)=AB$3,VLOOKUP(CONCATENATE($D39,$F39,$G39,AB$3),'Description des coûts'!$D$8:$M$1048576,9,FALSE),0),"")</f>
        <v/>
      </c>
      <c r="AC39" s="43" t="str">
        <f>_xlfn.IFNA(IF(VLOOKUP(CONCATENATE($D39,$F39,$G39,AC$3),'Description des coûts'!$D$8:$M$1048576,5,FALSE)=AC$3,VLOOKUP(CONCATENATE($D39,$F39,$G39,AC$3),'Description des coûts'!$D$8:$M$1048576,9,FALSE),0),"")</f>
        <v/>
      </c>
      <c r="AD39" s="43" t="str">
        <f>_xlfn.IFNA(IF(VLOOKUP(CONCATENATE($D39,$F39,$G39,AD$3),'Description des coûts'!$D$8:$M$1048576,5,FALSE)=AD$3,VLOOKUP(CONCATENATE($D39,$F39,$G39,AD$3),'Description des coûts'!$D$8:$M$1048576,9,FALSE),0),"")</f>
        <v/>
      </c>
      <c r="AE39" s="36"/>
      <c r="AF39" s="190">
        <f t="shared" si="34"/>
        <v>0</v>
      </c>
      <c r="AG39" s="35"/>
      <c r="AH39" s="191">
        <f>IF(F39="",0,IF(AG39="RI",N(HLOOKUP($F39,Partenaires!$B$10:$F$21,6,FALSE)),IF(AG39="DE",N(HLOOKUP($F39,Partenaires!$B$10:$F$21,7,FALSE)),IF(AG39="PE",N(HLOOKUP($F39,Partenaires!$B$10:$F$21,9,FALSE)),IF(AG39="RD",N(HLOOKUP($F39,Partenaires!$B$10:$F$21,8,FALSE)),0)))))</f>
        <v>0</v>
      </c>
      <c r="AI39" s="192">
        <f>IF(F39="",0,IF(OR(AG39="DE",AG39="NE",AG39="NR",AG39="PE"),0,IF(HLOOKUP(F39,Partenaires!$B$10:$F$21,2,FALSE)="ER 100%*coûts marginaux",AF39-V39,IF(AG39="RI",AF39,0))))</f>
        <v>0</v>
      </c>
      <c r="AJ39" s="192">
        <f t="shared" si="17"/>
        <v>0</v>
      </c>
      <c r="AK39" s="192">
        <f t="shared" si="30"/>
        <v>0</v>
      </c>
      <c r="AL39" s="192">
        <f t="shared" si="18"/>
        <v>0</v>
      </c>
      <c r="AM39" s="192">
        <f>IF(AG39="PE",AL39-(AL39*N(HLOOKUP($F39,Partenaires!$B$10:$F$21,9,FALSE))/N(HLOOKUP($F39,Partenaires!$B$10:$F$21,10,FALSE))),0)</f>
        <v>0</v>
      </c>
      <c r="AN39" s="192">
        <f t="shared" si="31"/>
        <v>0</v>
      </c>
      <c r="AO39" s="192">
        <f t="shared" si="19"/>
        <v>0</v>
      </c>
      <c r="AP39" s="192">
        <f t="shared" si="20"/>
        <v>0</v>
      </c>
      <c r="AQ39" s="192">
        <f t="shared" si="21"/>
        <v>0</v>
      </c>
      <c r="AR39" s="192">
        <f t="shared" si="22"/>
        <v>0</v>
      </c>
      <c r="AS39" s="192">
        <f t="shared" si="35"/>
        <v>0</v>
      </c>
      <c r="AT39" s="192">
        <f>IF(F39="",0,$AU39*N(HLOOKUP($F39,Partenaires!$B$10:$F$21,5,FALSE)))</f>
        <v>0</v>
      </c>
      <c r="AU39" s="192">
        <f t="shared" si="24"/>
        <v>0</v>
      </c>
    </row>
    <row r="40" spans="1:47" ht="18" customHeight="1" x14ac:dyDescent="0.35">
      <c r="A40" s="35"/>
      <c r="B40" s="35"/>
      <c r="C40" s="35"/>
      <c r="D40" s="83" t="str">
        <f t="shared" si="12"/>
        <v/>
      </c>
      <c r="E40" s="84">
        <f>IFERROR(VLOOKUP(D40,'Structure projet '!D:E,2,FALSE),"")</f>
        <v>0</v>
      </c>
      <c r="F40" s="35"/>
      <c r="G40" s="35"/>
      <c r="H40" s="36"/>
      <c r="I40" s="36"/>
      <c r="J40" s="58"/>
      <c r="K40" s="58"/>
      <c r="L40" s="58"/>
      <c r="M40" s="58"/>
      <c r="N40" s="58"/>
      <c r="O40" s="189">
        <f t="shared" si="13"/>
        <v>0</v>
      </c>
      <c r="P40" s="43"/>
      <c r="Q40" s="43"/>
      <c r="R40" s="43"/>
      <c r="S40" s="43"/>
      <c r="T40" s="43"/>
      <c r="U40" s="190">
        <f t="shared" si="14"/>
        <v>0</v>
      </c>
      <c r="V40" s="162"/>
      <c r="W40" s="190">
        <f t="shared" si="33"/>
        <v>0</v>
      </c>
      <c r="X40" s="190">
        <f>IF(F40="",0,IF(AG40="PE",0,IF(OR(HLOOKUP(F40,Partenaires!$B$10:$F$21,2,FALSE)="ER 50%*coûts complets",HLOOKUP(F40,Partenaires!$B$10:$F$21,2,FALSE)="GE",HLOOKUP(F40,Partenaires!$B$10:$F$21,2,FALSE)="ME",HLOOKUP(F40,Partenaires!$B$10:$F$21,2,FALSE)="PE"),20%*U40,IF(HLOOKUP(F40,Partenaires!$B$10:$F$21,2,FALSE)="ER 100%*coûts marginaux",4%*Z40+8%*SUM(W40,Y40,AB40:AD40),0))))</f>
        <v>0</v>
      </c>
      <c r="Y40" s="43" t="str">
        <f>_xlfn.IFNA(IF(VLOOKUP(CONCATENATE($D40,$F40,$G40,Y$3),'Description des coûts'!$D$8:$M$1048576,5,FALSE)=Y$3,VLOOKUP(CONCATENATE($D40,$F40,$G40,Y$3),'Description des coûts'!$D$8:$M$1048576,9,FALSE),0),"")</f>
        <v/>
      </c>
      <c r="Z40" s="43" t="str">
        <f>_xlfn.IFNA(VLOOKUP(D40,Amortissements!$D$8:$O$1048576,8,FALSE),0)</f>
        <v/>
      </c>
      <c r="AA40" s="43" t="str">
        <f>_xlfn.IFNA(IF(VLOOKUP(CONCATENATE($D40,$F40,$G40,AA$3),'Description des coûts'!$D$8:$M$1048576,5,FALSE)=AA$3,VLOOKUP(CONCATENATE($D40,$F40,$G40,AA$3),'Description des coûts'!$D$8:$M$1048576,9,FALSE),0),"")</f>
        <v/>
      </c>
      <c r="AB40" s="43" t="str">
        <f>_xlfn.IFNA(IF(VLOOKUP(CONCATENATE($D40,$F40,$G40,AB$3),'Description des coûts'!$D$8:$M$1048576,5,FALSE)=AB$3,VLOOKUP(CONCATENATE($D40,$F40,$G40,AB$3),'Description des coûts'!$D$8:$M$1048576,9,FALSE),0),"")</f>
        <v/>
      </c>
      <c r="AC40" s="43" t="str">
        <f>_xlfn.IFNA(IF(VLOOKUP(CONCATENATE($D40,$F40,$G40,AC$3),'Description des coûts'!$D$8:$M$1048576,5,FALSE)=AC$3,VLOOKUP(CONCATENATE($D40,$F40,$G40,AC$3),'Description des coûts'!$D$8:$M$1048576,9,FALSE),0),"")</f>
        <v/>
      </c>
      <c r="AD40" s="43" t="str">
        <f>_xlfn.IFNA(IF(VLOOKUP(CONCATENATE($D40,$F40,$G40,AD$3),'Description des coûts'!$D$8:$M$1048576,5,FALSE)=AD$3,VLOOKUP(CONCATENATE($D40,$F40,$G40,AD$3),'Description des coûts'!$D$8:$M$1048576,9,FALSE),0),"")</f>
        <v/>
      </c>
      <c r="AE40" s="36"/>
      <c r="AF40" s="190">
        <f t="shared" si="34"/>
        <v>0</v>
      </c>
      <c r="AG40" s="35"/>
      <c r="AH40" s="191">
        <f>IF(F40="",0,IF(AG40="RI",N(HLOOKUP($F40,Partenaires!$B$10:$F$21,6,FALSE)),IF(AG40="DE",N(HLOOKUP($F40,Partenaires!$B$10:$F$21,7,FALSE)),IF(AG40="PE",N(HLOOKUP($F40,Partenaires!$B$10:$F$21,9,FALSE)),IF(AG40="RD",N(HLOOKUP($F40,Partenaires!$B$10:$F$21,8,FALSE)),0)))))</f>
        <v>0</v>
      </c>
      <c r="AI40" s="192">
        <f>IF(F40="",0,IF(OR(AG40="DE",AG40="NE",AG40="NR",AG40="PE"),0,IF(HLOOKUP(F40,Partenaires!$B$10:$F$21,2,FALSE)="ER 100%*coûts marginaux",AF40-V40,IF(AG40="RI",AF40,0))))</f>
        <v>0</v>
      </c>
      <c r="AJ40" s="192">
        <f t="shared" si="17"/>
        <v>0</v>
      </c>
      <c r="AK40" s="192">
        <f t="shared" si="30"/>
        <v>0</v>
      </c>
      <c r="AL40" s="192">
        <f t="shared" si="18"/>
        <v>0</v>
      </c>
      <c r="AM40" s="192">
        <f>IF(AG40="PE",AL40-(AL40*N(HLOOKUP($F40,Partenaires!$B$10:$F$21,9,FALSE))/N(HLOOKUP($F40,Partenaires!$B$10:$F$21,10,FALSE))),0)</f>
        <v>0</v>
      </c>
      <c r="AN40" s="192">
        <f t="shared" si="31"/>
        <v>0</v>
      </c>
      <c r="AO40" s="192">
        <f t="shared" si="19"/>
        <v>0</v>
      </c>
      <c r="AP40" s="192">
        <f t="shared" si="20"/>
        <v>0</v>
      </c>
      <c r="AQ40" s="192">
        <f t="shared" si="21"/>
        <v>0</v>
      </c>
      <c r="AR40" s="192">
        <f t="shared" si="22"/>
        <v>0</v>
      </c>
      <c r="AS40" s="192">
        <f t="shared" si="35"/>
        <v>0</v>
      </c>
      <c r="AT40" s="192">
        <f>IF(F40="",0,$AU40*N(HLOOKUP($F40,Partenaires!$B$10:$F$21,5,FALSE)))</f>
        <v>0</v>
      </c>
      <c r="AU40" s="192">
        <f t="shared" si="24"/>
        <v>0</v>
      </c>
    </row>
    <row r="41" spans="1:47" ht="18" customHeight="1" x14ac:dyDescent="0.35">
      <c r="A41" s="35"/>
      <c r="B41" s="35"/>
      <c r="C41" s="35"/>
      <c r="D41" s="83" t="str">
        <f t="shared" ref="D41" si="36">CONCATENATE(A41,B41,C41)</f>
        <v/>
      </c>
      <c r="E41" s="84">
        <f>IFERROR(VLOOKUP(D41,'Structure projet '!D:E,2,FALSE),"")</f>
        <v>0</v>
      </c>
      <c r="F41" s="35"/>
      <c r="G41" s="35"/>
      <c r="H41" s="36"/>
      <c r="I41" s="36"/>
      <c r="J41" s="58"/>
      <c r="K41" s="58"/>
      <c r="L41" s="58"/>
      <c r="M41" s="58"/>
      <c r="N41" s="58"/>
      <c r="O41" s="189">
        <f t="shared" si="13"/>
        <v>0</v>
      </c>
      <c r="P41" s="43"/>
      <c r="Q41" s="43"/>
      <c r="R41" s="43"/>
      <c r="S41" s="43"/>
      <c r="T41" s="43"/>
      <c r="U41" s="190">
        <f t="shared" si="14"/>
        <v>0</v>
      </c>
      <c r="V41" s="162"/>
      <c r="W41" s="190">
        <f t="shared" ref="W41" si="37">IF(U41-V41=0,0,U41-V41)</f>
        <v>0</v>
      </c>
      <c r="X41" s="190">
        <f>IF(F41="",0,IF(AG41="PE",0,IF(OR(HLOOKUP(F41,Partenaires!$B$10:$F$21,2,FALSE)="ER 50%*coûts complets",HLOOKUP(F41,Partenaires!$B$10:$F$21,2,FALSE)="GE",HLOOKUP(F41,Partenaires!$B$10:$F$21,2,FALSE)="ME",HLOOKUP(F41,Partenaires!$B$10:$F$21,2,FALSE)="PE"),20%*U41,IF(HLOOKUP(F41,Partenaires!$B$10:$F$21,2,FALSE)="ER 100%*coûts marginaux",4%*Z41+8%*SUM(W41,Y41,AB41:AD41),0))))</f>
        <v>0</v>
      </c>
      <c r="Y41" s="43" t="str">
        <f>_xlfn.IFNA(IF(VLOOKUP(CONCATENATE($D41,$F41,$G41,Y$3),'Description des coûts'!$D$8:$M$1048576,5,FALSE)=Y$3,VLOOKUP(CONCATENATE($D41,$F41,$G41,Y$3),'Description des coûts'!$D$8:$M$1048576,9,FALSE),0),"")</f>
        <v/>
      </c>
      <c r="Z41" s="43" t="str">
        <f>_xlfn.IFNA(VLOOKUP(D41,Amortissements!$D$8:$O$1048576,8,FALSE),0)</f>
        <v/>
      </c>
      <c r="AA41" s="43" t="str">
        <f>_xlfn.IFNA(IF(VLOOKUP(CONCATENATE($D41,$F41,$G41,AA$3),'Description des coûts'!$D$8:$M$1048576,5,FALSE)=AA$3,VLOOKUP(CONCATENATE($D41,$F41,$G41,AA$3),'Description des coûts'!$D$8:$M$1048576,9,FALSE),0),"")</f>
        <v/>
      </c>
      <c r="AB41" s="43" t="str">
        <f>_xlfn.IFNA(IF(VLOOKUP(CONCATENATE($D41,$F41,$G41,AB$3),'Description des coûts'!$D$8:$M$1048576,5,FALSE)=AB$3,VLOOKUP(CONCATENATE($D41,$F41,$G41,AB$3),'Description des coûts'!$D$8:$M$1048576,9,FALSE),0),"")</f>
        <v/>
      </c>
      <c r="AC41" s="43" t="str">
        <f>_xlfn.IFNA(IF(VLOOKUP(CONCATENATE($D41,$F41,$G41,AC$3),'Description des coûts'!$D$8:$M$1048576,5,FALSE)=AC$3,VLOOKUP(CONCATENATE($D41,$F41,$G41,AC$3),'Description des coûts'!$D$8:$M$1048576,9,FALSE),0),"")</f>
        <v/>
      </c>
      <c r="AD41" s="43" t="str">
        <f>_xlfn.IFNA(IF(VLOOKUP(CONCATENATE($D41,$F41,$G41,AD$3),'Description des coûts'!$D$8:$M$1048576,5,FALSE)=AD$3,VLOOKUP(CONCATENATE($D41,$F41,$G41,AD$3),'Description des coûts'!$D$8:$M$1048576,9,FALSE),0),"")</f>
        <v/>
      </c>
      <c r="AE41" s="36"/>
      <c r="AF41" s="190">
        <f t="shared" ref="AF41" si="38">U41+SUM(X41:AD41)</f>
        <v>0</v>
      </c>
      <c r="AG41" s="35"/>
      <c r="AH41" s="191">
        <f>IF(F41="",0,IF(AG41="RI",N(HLOOKUP($F41,Partenaires!$B$10:$F$21,6,FALSE)),IF(AG41="DE",N(HLOOKUP($F41,Partenaires!$B$10:$F$21,7,FALSE)),IF(AG41="PE",N(HLOOKUP($F41,Partenaires!$B$10:$F$21,9,FALSE)),IF(AG41="RD",N(HLOOKUP($F41,Partenaires!$B$10:$F$21,8,FALSE)),0)))))</f>
        <v>0</v>
      </c>
      <c r="AI41" s="192">
        <f>IF(F41="",0,IF(OR(AG41="DE",AG41="NE",AG41="NR",AG41="PE"),0,IF(HLOOKUP(F41,Partenaires!$B$10:$F$21,2,FALSE)="ER 100%*coûts marginaux",AF41-V41,IF(AG41="RI",AF41,0))))</f>
        <v>0</v>
      </c>
      <c r="AJ41" s="192">
        <f t="shared" si="17"/>
        <v>0</v>
      </c>
      <c r="AK41" s="192">
        <f t="shared" si="30"/>
        <v>0</v>
      </c>
      <c r="AL41" s="192">
        <f t="shared" si="18"/>
        <v>0</v>
      </c>
      <c r="AM41" s="192">
        <f>IF(AG41="PE",AL41-(AL41*N(HLOOKUP($F41,Partenaires!$B$10:$F$21,9,FALSE))/N(HLOOKUP($F41,Partenaires!$B$10:$F$21,10,FALSE))),0)</f>
        <v>0</v>
      </c>
      <c r="AN41" s="192">
        <f t="shared" si="31"/>
        <v>0</v>
      </c>
      <c r="AO41" s="192">
        <f t="shared" si="19"/>
        <v>0</v>
      </c>
      <c r="AP41" s="192">
        <f t="shared" si="20"/>
        <v>0</v>
      </c>
      <c r="AQ41" s="192">
        <f t="shared" si="21"/>
        <v>0</v>
      </c>
      <c r="AR41" s="192">
        <f t="shared" si="22"/>
        <v>0</v>
      </c>
      <c r="AS41" s="192">
        <f t="shared" ref="AS41" si="39">AU41-AT41</f>
        <v>0</v>
      </c>
      <c r="AT41" s="192">
        <f>IF(F41="",0,$AU41*N(HLOOKUP($F41,Partenaires!$B$10:$F$21,5,FALSE)))</f>
        <v>0</v>
      </c>
      <c r="AU41" s="192">
        <f t="shared" si="24"/>
        <v>0</v>
      </c>
    </row>
    <row r="42" spans="1:47" ht="18" customHeight="1" x14ac:dyDescent="0.35">
      <c r="A42" s="35"/>
      <c r="B42" s="35"/>
      <c r="C42" s="35"/>
      <c r="D42" s="83" t="str">
        <f t="shared" si="12"/>
        <v/>
      </c>
      <c r="E42" s="84">
        <f>IFERROR(VLOOKUP(D42,'Structure projet '!D:E,2,FALSE),"")</f>
        <v>0</v>
      </c>
      <c r="F42" s="35"/>
      <c r="G42" s="35"/>
      <c r="H42" s="36"/>
      <c r="I42" s="36"/>
      <c r="J42" s="58"/>
      <c r="K42" s="58"/>
      <c r="L42" s="58"/>
      <c r="M42" s="58"/>
      <c r="N42" s="58"/>
      <c r="O42" s="189">
        <f t="shared" si="13"/>
        <v>0</v>
      </c>
      <c r="P42" s="43"/>
      <c r="Q42" s="43"/>
      <c r="R42" s="43"/>
      <c r="S42" s="43"/>
      <c r="T42" s="43"/>
      <c r="U42" s="190">
        <f t="shared" si="14"/>
        <v>0</v>
      </c>
      <c r="V42" s="162"/>
      <c r="W42" s="190">
        <f t="shared" si="33"/>
        <v>0</v>
      </c>
      <c r="X42" s="190">
        <f>IF(F42="",0,IF(AG42="PE",0,IF(OR(HLOOKUP(F42,Partenaires!$B$10:$F$21,2,FALSE)="ER 50%*coûts complets",HLOOKUP(F42,Partenaires!$B$10:$F$21,2,FALSE)="GE",HLOOKUP(F42,Partenaires!$B$10:$F$21,2,FALSE)="ME",HLOOKUP(F42,Partenaires!$B$10:$F$21,2,FALSE)="PE"),20%*U42,IF(HLOOKUP(F42,Partenaires!$B$10:$F$21,2,FALSE)="ER 100%*coûts marginaux",4%*Z42+8%*SUM(W42,Y42,AB42:AD42),0))))</f>
        <v>0</v>
      </c>
      <c r="Y42" s="43" t="str">
        <f>_xlfn.IFNA(IF(VLOOKUP(CONCATENATE($D42,$F42,$G42,Y$3),'Description des coûts'!$D$8:$M$1048576,5,FALSE)=Y$3,VLOOKUP(CONCATENATE($D42,$F42,$G42,Y$3),'Description des coûts'!$D$8:$M$1048576,9,FALSE),0),"")</f>
        <v/>
      </c>
      <c r="Z42" s="43" t="str">
        <f>_xlfn.IFNA(VLOOKUP(D42,Amortissements!$D$8:$O$1048576,8,FALSE),0)</f>
        <v/>
      </c>
      <c r="AA42" s="43" t="str">
        <f>_xlfn.IFNA(IF(VLOOKUP(CONCATENATE($D42,$F42,$G42,AA$3),'Description des coûts'!$D$8:$M$1048576,5,FALSE)=AA$3,VLOOKUP(CONCATENATE($D42,$F42,$G42,AA$3),'Description des coûts'!$D$8:$M$1048576,9,FALSE),0),"")</f>
        <v/>
      </c>
      <c r="AB42" s="43" t="str">
        <f>_xlfn.IFNA(IF(VLOOKUP(CONCATENATE($D42,$F42,$G42,AB$3),'Description des coûts'!$D$8:$M$1048576,5,FALSE)=AB$3,VLOOKUP(CONCATENATE($D42,$F42,$G42,AB$3),'Description des coûts'!$D$8:$M$1048576,9,FALSE),0),"")</f>
        <v/>
      </c>
      <c r="AC42" s="43" t="str">
        <f>_xlfn.IFNA(IF(VLOOKUP(CONCATENATE($D42,$F42,$G42,AC$3),'Description des coûts'!$D$8:$M$1048576,5,FALSE)=AC$3,VLOOKUP(CONCATENATE($D42,$F42,$G42,AC$3),'Description des coûts'!$D$8:$M$1048576,9,FALSE),0),"")</f>
        <v/>
      </c>
      <c r="AD42" s="43" t="str">
        <f>_xlfn.IFNA(IF(VLOOKUP(CONCATENATE($D42,$F42,$G42,AD$3),'Description des coûts'!$D$8:$M$1048576,5,FALSE)=AD$3,VLOOKUP(CONCATENATE($D42,$F42,$G42,AD$3),'Description des coûts'!$D$8:$M$1048576,9,FALSE),0),"")</f>
        <v/>
      </c>
      <c r="AE42" s="36"/>
      <c r="AF42" s="190">
        <f t="shared" si="34"/>
        <v>0</v>
      </c>
      <c r="AG42" s="35"/>
      <c r="AH42" s="191">
        <f>IF(F42="",0,IF(AG42="RI",N(HLOOKUP($F42,Partenaires!$B$10:$F$21,6,FALSE)),IF(AG42="DE",N(HLOOKUP($F42,Partenaires!$B$10:$F$21,7,FALSE)),IF(AG42="PE",N(HLOOKUP($F42,Partenaires!$B$10:$F$21,9,FALSE)),IF(AG42="RD",N(HLOOKUP($F42,Partenaires!$B$10:$F$21,8,FALSE)),0)))))</f>
        <v>0</v>
      </c>
      <c r="AI42" s="192">
        <f>IF(F42="",0,IF(OR(AG42="DE",AG42="NE",AG42="NR",AG42="PE"),0,IF(HLOOKUP(F42,Partenaires!$B$10:$F$21,2,FALSE)="ER 100%*coûts marginaux",AF42-V42,IF(AG42="RI",AF42,0))))</f>
        <v>0</v>
      </c>
      <c r="AJ42" s="192">
        <f t="shared" si="17"/>
        <v>0</v>
      </c>
      <c r="AK42" s="192">
        <f t="shared" si="30"/>
        <v>0</v>
      </c>
      <c r="AL42" s="192">
        <f t="shared" si="18"/>
        <v>0</v>
      </c>
      <c r="AM42" s="192">
        <f>IF(AG42="PE",AL42-(AL42*N(HLOOKUP($F42,Partenaires!$B$10:$F$21,9,FALSE))/N(HLOOKUP($F42,Partenaires!$B$10:$F$21,10,FALSE))),0)</f>
        <v>0</v>
      </c>
      <c r="AN42" s="192">
        <f t="shared" si="31"/>
        <v>0</v>
      </c>
      <c r="AO42" s="192">
        <f t="shared" si="19"/>
        <v>0</v>
      </c>
      <c r="AP42" s="192">
        <f t="shared" si="20"/>
        <v>0</v>
      </c>
      <c r="AQ42" s="192">
        <f t="shared" si="21"/>
        <v>0</v>
      </c>
      <c r="AR42" s="192">
        <f t="shared" si="22"/>
        <v>0</v>
      </c>
      <c r="AS42" s="192">
        <f t="shared" si="35"/>
        <v>0</v>
      </c>
      <c r="AT42" s="192">
        <f>IF(F42="",0,$AU42*N(HLOOKUP($F42,Partenaires!$B$10:$F$21,5,FALSE)))</f>
        <v>0</v>
      </c>
      <c r="AU42" s="192">
        <f t="shared" si="24"/>
        <v>0</v>
      </c>
    </row>
    <row r="43" spans="1:47" ht="18" customHeight="1" x14ac:dyDescent="0.35">
      <c r="A43" s="35"/>
      <c r="B43" s="35"/>
      <c r="C43" s="35"/>
      <c r="D43" s="83" t="str">
        <f t="shared" si="12"/>
        <v/>
      </c>
      <c r="E43" s="84">
        <f>IFERROR(VLOOKUP(D43,'Structure projet '!D:E,2,FALSE),"")</f>
        <v>0</v>
      </c>
      <c r="F43" s="35"/>
      <c r="G43" s="35"/>
      <c r="H43" s="36"/>
      <c r="I43" s="36"/>
      <c r="J43" s="58"/>
      <c r="K43" s="58"/>
      <c r="L43" s="58"/>
      <c r="M43" s="58"/>
      <c r="N43" s="58"/>
      <c r="O43" s="189">
        <f t="shared" si="13"/>
        <v>0</v>
      </c>
      <c r="P43" s="43"/>
      <c r="Q43" s="43"/>
      <c r="R43" s="43"/>
      <c r="S43" s="43"/>
      <c r="T43" s="43"/>
      <c r="U43" s="190">
        <f t="shared" si="14"/>
        <v>0</v>
      </c>
      <c r="V43" s="162"/>
      <c r="W43" s="190">
        <f t="shared" si="33"/>
        <v>0</v>
      </c>
      <c r="X43" s="190">
        <f>IF(F43="",0,IF(AG43="PE",0,IF(OR(HLOOKUP(F43,Partenaires!$B$10:$F$21,2,FALSE)="ER 50%*coûts complets",HLOOKUP(F43,Partenaires!$B$10:$F$21,2,FALSE)="GE",HLOOKUP(F43,Partenaires!$B$10:$F$21,2,FALSE)="ME",HLOOKUP(F43,Partenaires!$B$10:$F$21,2,FALSE)="PE"),20%*U43,IF(HLOOKUP(F43,Partenaires!$B$10:$F$21,2,FALSE)="ER 100%*coûts marginaux",4%*Z43+8%*SUM(W43,Y43,AB43:AD43),0))))</f>
        <v>0</v>
      </c>
      <c r="Y43" s="43" t="str">
        <f>_xlfn.IFNA(IF(VLOOKUP(CONCATENATE($D43,$F43,$G43,Y$3),'Description des coûts'!$D$8:$M$1048576,5,FALSE)=Y$3,VLOOKUP(CONCATENATE($D43,$F43,$G43,Y$3),'Description des coûts'!$D$8:$M$1048576,9,FALSE),0),"")</f>
        <v/>
      </c>
      <c r="Z43" s="43" t="str">
        <f>_xlfn.IFNA(VLOOKUP(D43,Amortissements!$D$8:$O$1048576,8,FALSE),0)</f>
        <v/>
      </c>
      <c r="AA43" s="43" t="str">
        <f>_xlfn.IFNA(IF(VLOOKUP(CONCATENATE($D43,$F43,$G43,AA$3),'Description des coûts'!$D$8:$M$1048576,5,FALSE)=AA$3,VLOOKUP(CONCATENATE($D43,$F43,$G43,AA$3),'Description des coûts'!$D$8:$M$1048576,9,FALSE),0),"")</f>
        <v/>
      </c>
      <c r="AB43" s="43" t="str">
        <f>_xlfn.IFNA(IF(VLOOKUP(CONCATENATE($D43,$F43,$G43,AB$3),'Description des coûts'!$D$8:$M$1048576,5,FALSE)=AB$3,VLOOKUP(CONCATENATE($D43,$F43,$G43,AB$3),'Description des coûts'!$D$8:$M$1048576,9,FALSE),0),"")</f>
        <v/>
      </c>
      <c r="AC43" s="43" t="str">
        <f>_xlfn.IFNA(IF(VLOOKUP(CONCATENATE($D43,$F43,$G43,AC$3),'Description des coûts'!$D$8:$M$1048576,5,FALSE)=AC$3,VLOOKUP(CONCATENATE($D43,$F43,$G43,AC$3),'Description des coûts'!$D$8:$M$1048576,9,FALSE),0),"")</f>
        <v/>
      </c>
      <c r="AD43" s="43" t="str">
        <f>_xlfn.IFNA(IF(VLOOKUP(CONCATENATE($D43,$F43,$G43,AD$3),'Description des coûts'!$D$8:$M$1048576,5,FALSE)=AD$3,VLOOKUP(CONCATENATE($D43,$F43,$G43,AD$3),'Description des coûts'!$D$8:$M$1048576,9,FALSE),0),"")</f>
        <v/>
      </c>
      <c r="AE43" s="36"/>
      <c r="AF43" s="190">
        <f t="shared" si="34"/>
        <v>0</v>
      </c>
      <c r="AG43" s="35"/>
      <c r="AH43" s="191">
        <f>IF(F43="",0,IF(AG43="RI",N(HLOOKUP($F43,Partenaires!$B$10:$F$21,6,FALSE)),IF(AG43="DE",N(HLOOKUP($F43,Partenaires!$B$10:$F$21,7,FALSE)),IF(AG43="PE",N(HLOOKUP($F43,Partenaires!$B$10:$F$21,9,FALSE)),IF(AG43="RD",N(HLOOKUP($F43,Partenaires!$B$10:$F$21,8,FALSE)),0)))))</f>
        <v>0</v>
      </c>
      <c r="AI43" s="192">
        <f>IF(F43="",0,IF(OR(AG43="DE",AG43="NE",AG43="NR",AG43="PE"),0,IF(HLOOKUP(F43,Partenaires!$B$10:$F$21,2,FALSE)="ER 100%*coûts marginaux",AF43-V43,IF(AG43="RI",AF43,0))))</f>
        <v>0</v>
      </c>
      <c r="AJ43" s="192">
        <f t="shared" si="17"/>
        <v>0</v>
      </c>
      <c r="AK43" s="192">
        <f t="shared" si="30"/>
        <v>0</v>
      </c>
      <c r="AL43" s="192">
        <f t="shared" si="18"/>
        <v>0</v>
      </c>
      <c r="AM43" s="192">
        <f>IF(AG43="PE",AL43-(AL43*N(HLOOKUP($F43,Partenaires!$B$10:$F$21,9,FALSE))/N(HLOOKUP($F43,Partenaires!$B$10:$F$21,10,FALSE))),0)</f>
        <v>0</v>
      </c>
      <c r="AN43" s="192">
        <f t="shared" si="31"/>
        <v>0</v>
      </c>
      <c r="AO43" s="192">
        <f t="shared" si="19"/>
        <v>0</v>
      </c>
      <c r="AP43" s="192">
        <f t="shared" si="20"/>
        <v>0</v>
      </c>
      <c r="AQ43" s="192">
        <f t="shared" si="21"/>
        <v>0</v>
      </c>
      <c r="AR43" s="192">
        <f t="shared" si="22"/>
        <v>0</v>
      </c>
      <c r="AS43" s="192">
        <f t="shared" si="35"/>
        <v>0</v>
      </c>
      <c r="AT43" s="192">
        <f>IF(F43="",0,$AU43*N(HLOOKUP($F43,Partenaires!$B$10:$F$21,5,FALSE)))</f>
        <v>0</v>
      </c>
      <c r="AU43" s="192">
        <f t="shared" si="24"/>
        <v>0</v>
      </c>
    </row>
  </sheetData>
  <sheetProtection formatCells="0" formatColumns="0" formatRows="0" insertColumns="0" insertRows="0" insertHyperlinks="0" deleteColumns="0" deleteRows="0" sort="0" autoFilter="0" pivotTables="0"/>
  <autoFilter ref="A10:AU43" xr:uid="{00000000-0009-0000-0000-000006000000}"/>
  <mergeCells count="1">
    <mergeCell ref="A2:F2"/>
  </mergeCells>
  <conditionalFormatting sqref="F15:G16 P15:T16 AB17:AD43 Y15:Y43 J15:N43 Z11:AA11 Z13:Z43 AA12:AA43 AG11:AG43 AB15:AC16">
    <cfRule type="containsBlanks" dxfId="50" priority="169">
      <formula>LEN(TRIM(F11))=0</formula>
    </cfRule>
  </conditionalFormatting>
  <conditionalFormatting sqref="J11:N11">
    <cfRule type="containsBlanks" dxfId="49" priority="172">
      <formula>LEN(TRIM(J11))=0</formula>
    </cfRule>
  </conditionalFormatting>
  <conditionalFormatting sqref="P11:T11">
    <cfRule type="containsBlanks" dxfId="48" priority="171">
      <formula>LEN(TRIM(P11))=0</formula>
    </cfRule>
  </conditionalFormatting>
  <conditionalFormatting sqref="Y11:AD11 AA12:AA43">
    <cfRule type="containsBlanks" dxfId="47" priority="170">
      <formula>LEN(TRIM(Y11))=0</formula>
    </cfRule>
  </conditionalFormatting>
  <conditionalFormatting sqref="G17:G43">
    <cfRule type="containsBlanks" dxfId="46" priority="116">
      <formula>LEN(TRIM(G17))=0</formula>
    </cfRule>
  </conditionalFormatting>
  <conditionalFormatting sqref="F17:F43">
    <cfRule type="containsBlanks" dxfId="45" priority="115">
      <formula>LEN(TRIM(F17))=0</formula>
    </cfRule>
  </conditionalFormatting>
  <conditionalFormatting sqref="A17:B43">
    <cfRule type="containsBlanks" dxfId="44" priority="114">
      <formula>LEN(TRIM(A17))=0</formula>
    </cfRule>
  </conditionalFormatting>
  <conditionalFormatting sqref="G17:G43">
    <cfRule type="containsBlanks" dxfId="43" priority="113">
      <formula>LEN(TRIM(G17))=0</formula>
    </cfRule>
  </conditionalFormatting>
  <conditionalFormatting sqref="G11">
    <cfRule type="containsBlanks" dxfId="42" priority="96">
      <formula>LEN(TRIM(G11))=0</formula>
    </cfRule>
  </conditionalFormatting>
  <conditionalFormatting sqref="P17:T43">
    <cfRule type="containsBlanks" dxfId="41" priority="111">
      <formula>LEN(TRIM(P17))=0</formula>
    </cfRule>
  </conditionalFormatting>
  <conditionalFormatting sqref="A16">
    <cfRule type="containsBlanks" dxfId="40" priority="93">
      <formula>LEN(TRIM(A16))=0</formula>
    </cfRule>
  </conditionalFormatting>
  <conditionalFormatting sqref="A11:B11">
    <cfRule type="containsBlanks" dxfId="39" priority="98">
      <formula>LEN(TRIM(A11))=0</formula>
    </cfRule>
  </conditionalFormatting>
  <conditionalFormatting sqref="F11">
    <cfRule type="containsBlanks" dxfId="38" priority="97">
      <formula>LEN(TRIM(F11))=0</formula>
    </cfRule>
  </conditionalFormatting>
  <conditionalFormatting sqref="B15:B16">
    <cfRule type="containsBlanks" dxfId="37" priority="90">
      <formula>LEN(TRIM(B15))=0</formula>
    </cfRule>
  </conditionalFormatting>
  <conditionalFormatting sqref="A15">
    <cfRule type="containsBlanks" dxfId="36" priority="92">
      <formula>LEN(TRIM(A15))=0</formula>
    </cfRule>
  </conditionalFormatting>
  <conditionalFormatting sqref="P1:T1">
    <cfRule type="containsBlanks" dxfId="35" priority="36">
      <formula>LEN(TRIM(P1))=0</formula>
    </cfRule>
  </conditionalFormatting>
  <conditionalFormatting sqref="AG1">
    <cfRule type="containsBlanks" dxfId="34" priority="35">
      <formula>LEN(TRIM(AG1))=0</formula>
    </cfRule>
  </conditionalFormatting>
  <conditionalFormatting sqref="Y1 AB1:AD1">
    <cfRule type="containsBlanks" dxfId="33" priority="34">
      <formula>LEN(TRIM(Y1))=0</formula>
    </cfRule>
  </conditionalFormatting>
  <conditionalFormatting sqref="F1">
    <cfRule type="containsBlanks" dxfId="32" priority="40">
      <formula>LEN(TRIM(F1))=0</formula>
    </cfRule>
  </conditionalFormatting>
  <conditionalFormatting sqref="G1">
    <cfRule type="containsBlanks" dxfId="31" priority="41">
      <formula>LEN(TRIM(G1))=0</formula>
    </cfRule>
  </conditionalFormatting>
  <conditionalFormatting sqref="A1:B1">
    <cfRule type="containsBlanks" dxfId="30" priority="39">
      <formula>LEN(TRIM(A1))=0</formula>
    </cfRule>
  </conditionalFormatting>
  <conditionalFormatting sqref="G1">
    <cfRule type="containsBlanks" dxfId="29" priority="38">
      <formula>LEN(TRIM(G1))=0</formula>
    </cfRule>
  </conditionalFormatting>
  <conditionalFormatting sqref="J1:N1">
    <cfRule type="containsBlanks" dxfId="28" priority="37">
      <formula>LEN(TRIM(J1))=0</formula>
    </cfRule>
  </conditionalFormatting>
  <conditionalFormatting sqref="J13:N13 Y13 AB13:AD13">
    <cfRule type="containsBlanks" dxfId="27" priority="24">
      <formula>LEN(TRIM(J13))=0</formula>
    </cfRule>
  </conditionalFormatting>
  <conditionalFormatting sqref="G13">
    <cfRule type="containsBlanks" dxfId="26" priority="23">
      <formula>LEN(TRIM(G13))=0</formula>
    </cfRule>
  </conditionalFormatting>
  <conditionalFormatting sqref="F13">
    <cfRule type="containsBlanks" dxfId="25" priority="22">
      <formula>LEN(TRIM(F13))=0</formula>
    </cfRule>
  </conditionalFormatting>
  <conditionalFormatting sqref="A13:B13">
    <cfRule type="containsBlanks" dxfId="24" priority="21">
      <formula>LEN(TRIM(A13))=0</formula>
    </cfRule>
  </conditionalFormatting>
  <conditionalFormatting sqref="G13">
    <cfRule type="containsBlanks" dxfId="23" priority="20">
      <formula>LEN(TRIM(G13))=0</formula>
    </cfRule>
  </conditionalFormatting>
  <conditionalFormatting sqref="P13:T13">
    <cfRule type="containsBlanks" dxfId="22" priority="19">
      <formula>LEN(TRIM(P13))=0</formula>
    </cfRule>
  </conditionalFormatting>
  <conditionalFormatting sqref="J14:N14 Y14 AB14:AD14 AD15:AD16">
    <cfRule type="containsBlanks" dxfId="21" priority="16">
      <formula>LEN(TRIM(J14))=0</formula>
    </cfRule>
  </conditionalFormatting>
  <conditionalFormatting sqref="G14">
    <cfRule type="containsBlanks" dxfId="20" priority="15">
      <formula>LEN(TRIM(G14))=0</formula>
    </cfRule>
  </conditionalFormatting>
  <conditionalFormatting sqref="F14">
    <cfRule type="containsBlanks" dxfId="19" priority="14">
      <formula>LEN(TRIM(F14))=0</formula>
    </cfRule>
  </conditionalFormatting>
  <conditionalFormatting sqref="A14:B14">
    <cfRule type="containsBlanks" dxfId="18" priority="13">
      <formula>LEN(TRIM(A14))=0</formula>
    </cfRule>
  </conditionalFormatting>
  <conditionalFormatting sqref="G14">
    <cfRule type="containsBlanks" dxfId="17" priority="12">
      <formula>LEN(TRIM(G14))=0</formula>
    </cfRule>
  </conditionalFormatting>
  <conditionalFormatting sqref="P14:T14">
    <cfRule type="containsBlanks" dxfId="16" priority="11">
      <formula>LEN(TRIM(P14))=0</formula>
    </cfRule>
  </conditionalFormatting>
  <conditionalFormatting sqref="Z1:AA1">
    <cfRule type="containsBlanks" dxfId="15" priority="8">
      <formula>LEN(TRIM(Z1))=0</formula>
    </cfRule>
  </conditionalFormatting>
  <conditionalFormatting sqref="Z12">
    <cfRule type="containsBlanks" dxfId="14" priority="4">
      <formula>LEN(TRIM(Z12))=0</formula>
    </cfRule>
  </conditionalFormatting>
  <conditionalFormatting sqref="J12:N12">
    <cfRule type="containsBlanks" dxfId="13" priority="7">
      <formula>LEN(TRIM(J12))=0</formula>
    </cfRule>
  </conditionalFormatting>
  <conditionalFormatting sqref="P12:T12">
    <cfRule type="containsBlanks" dxfId="12" priority="6">
      <formula>LEN(TRIM(P12))=0</formula>
    </cfRule>
  </conditionalFormatting>
  <conditionalFormatting sqref="Y12:Z12 AB12:AD12">
    <cfRule type="containsBlanks" dxfId="11" priority="5">
      <formula>LEN(TRIM(Y12))=0</formula>
    </cfRule>
  </conditionalFormatting>
  <conditionalFormatting sqref="G12">
    <cfRule type="containsBlanks" dxfId="10" priority="1">
      <formula>LEN(TRIM(G12))=0</formula>
    </cfRule>
  </conditionalFormatting>
  <conditionalFormatting sqref="A12:B12">
    <cfRule type="containsBlanks" dxfId="9" priority="3">
      <formula>LEN(TRIM(A12))=0</formula>
    </cfRule>
  </conditionalFormatting>
  <conditionalFormatting sqref="F12">
    <cfRule type="containsBlanks" dxfId="8" priority="2">
      <formula>LEN(TRIM(F12))=0</formula>
    </cfRule>
  </conditionalFormatting>
  <dataValidations count="9">
    <dataValidation allowBlank="1" showInputMessage="1" showErrorMessage="1" prompt="Pour les cas pertinents, reprendre le montant d'amortissement semestriel unitaire depuis l'onglet &quot;Amortissements&quot;" sqref="Z1:AA1 Z11:AA43" xr:uid="{00000000-0002-0000-0600-000000000000}"/>
    <dataValidation type="list" allowBlank="1" showInputMessage="1" showErrorMessage="1" sqref="C1 C11:C43" xr:uid="{00000000-0002-0000-0600-000001000000}">
      <formula1>",,1,2,3,4,5,6,7,8,9,10,11,12,13,14,15"</formula1>
    </dataValidation>
    <dataValidation type="list" allowBlank="1" showInputMessage="1" showErrorMessage="1" sqref="B1 B11:B43" xr:uid="{00000000-0002-0000-0600-000002000000}">
      <formula1>"1,2,3,4,5,6,7,8,9,10,11,12,13,14,15"</formula1>
    </dataValidation>
    <dataValidation type="list" allowBlank="1" showInputMessage="1" showErrorMessage="1" sqref="A1 A11:A43" xr:uid="{00000000-0002-0000-0600-000003000000}">
      <formula1>"LOT 0,LOT 1,LOT 2,LOT 3,LOT 4,LOT 5,LOT 6,LOT 7,LOT 8,LOT 9,LOT 10,LOT 11,LOT 12,LOT 13,LOT 14,LOT 14,LOT 15"</formula1>
    </dataValidation>
    <dataValidation type="list" allowBlank="1" showInputMessage="1" showErrorMessage="1" sqref="I1 I11:I43" xr:uid="{00000000-0002-0000-0600-000004000000}">
      <formula1>"EC01,EC02,EC03,EC04,EC05,EC06,EC07,EC08,EC09"</formula1>
    </dataValidation>
    <dataValidation type="list" allowBlank="1" showInputMessage="1" showErrorMessage="1" sqref="AG1" xr:uid="{00000000-0002-0000-0600-000005000000}">
      <formula1>"RI,DE,PE,NE,NR"</formula1>
    </dataValidation>
    <dataValidation allowBlank="1" showInputMessage="1" showErrorMessage="1" prompt="A expliquer dans onglet &quot;Description des coûts&quot;" sqref="Y1 AB1:AD1 Y11:Y43 AB11:AD43"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 G11:G43" xr:uid="{00000000-0002-0000-0600-000007000000}">
      <formula1>"SEM01,SEM02,SEM03,SEM04,SEM05,SEM06,SEM07,SEM08,SEM09,SEM10,SEM11,SEM12,SEM13,SEM14,SEM15,SEM16"</formula1>
    </dataValidation>
    <dataValidation type="list" allowBlank="1" showInputMessage="1" showErrorMessage="1" sqref="AG11:AG43" xr:uid="{00CB7730-110A-4602-8772-749068077916}">
      <formula1>"RI,DE,PE,RD,NE,NR"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Partenaires!$B$10:$F$10</xm:f>
          </x14:formula1>
          <xm:sqref>F1 F11:F43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0" tint="-0.14999847407452621"/>
  </sheetPr>
  <dimension ref="A1:P124"/>
  <sheetViews>
    <sheetView topLeftCell="A4" zoomScale="90" zoomScaleNormal="90" workbookViewId="0">
      <selection activeCell="E17" sqref="E17"/>
    </sheetView>
  </sheetViews>
  <sheetFormatPr baseColWidth="10" defaultColWidth="11.453125" defaultRowHeight="14" x14ac:dyDescent="0.3"/>
  <cols>
    <col min="1" max="1" width="4.453125" style="172" customWidth="1"/>
    <col min="2" max="2" width="20.1796875" style="172" bestFit="1" customWidth="1"/>
    <col min="3" max="3" width="29.36328125" style="171" bestFit="1" customWidth="1"/>
    <col min="4" max="4" width="34" style="171" bestFit="1" customWidth="1"/>
    <col min="5" max="5" width="25.54296875" style="171" bestFit="1" customWidth="1"/>
    <col min="6" max="6" width="22.1796875" style="171" bestFit="1" customWidth="1"/>
    <col min="7" max="7" width="28.08984375" style="172" bestFit="1" customWidth="1"/>
    <col min="8" max="8" width="15.54296875" style="172" bestFit="1" customWidth="1"/>
    <col min="9" max="9" width="12.6328125" style="172" bestFit="1" customWidth="1"/>
    <col min="10" max="10" width="13.1796875" style="172" customWidth="1"/>
    <col min="11" max="15" width="21.1796875" style="171" customWidth="1"/>
    <col min="16" max="16" width="21.453125" style="171" customWidth="1"/>
    <col min="17" max="16384" width="11.453125" style="172"/>
  </cols>
  <sheetData>
    <row r="1" spans="2:9" ht="25" x14ac:dyDescent="0.5">
      <c r="B1" s="170" t="s">
        <v>199</v>
      </c>
    </row>
    <row r="4" spans="2:9" x14ac:dyDescent="0.3">
      <c r="B4" s="173" t="s">
        <v>132</v>
      </c>
      <c r="C4" s="174"/>
      <c r="D4" s="174"/>
      <c r="E4" s="174"/>
    </row>
    <row r="5" spans="2:9" ht="14.5" x14ac:dyDescent="0.35">
      <c r="B5" s="285"/>
      <c r="C5" s="286" t="s">
        <v>133</v>
      </c>
      <c r="D5" s="287"/>
      <c r="E5" s="288"/>
      <c r="F5"/>
      <c r="G5"/>
      <c r="H5"/>
      <c r="I5"/>
    </row>
    <row r="6" spans="2:9" ht="14.5" x14ac:dyDescent="0.35">
      <c r="B6" s="209" t="s">
        <v>134</v>
      </c>
      <c r="C6" s="210" t="s">
        <v>218</v>
      </c>
      <c r="D6" s="210" t="s">
        <v>182</v>
      </c>
      <c r="E6" s="211" t="s">
        <v>135</v>
      </c>
      <c r="F6"/>
      <c r="G6"/>
      <c r="H6"/>
      <c r="I6"/>
    </row>
    <row r="7" spans="2:9" ht="14.5" x14ac:dyDescent="0.35">
      <c r="B7" s="289" t="s">
        <v>136</v>
      </c>
      <c r="C7" s="290">
        <v>32000</v>
      </c>
      <c r="D7" s="288">
        <v>0</v>
      </c>
      <c r="E7" s="288">
        <v>32000</v>
      </c>
      <c r="F7"/>
      <c r="G7"/>
      <c r="H7"/>
      <c r="I7"/>
    </row>
    <row r="8" spans="2:9" ht="14.5" x14ac:dyDescent="0.35">
      <c r="B8" s="216" t="s">
        <v>137</v>
      </c>
      <c r="C8" s="213"/>
      <c r="D8" s="214"/>
      <c r="E8" s="214"/>
      <c r="F8"/>
      <c r="G8"/>
      <c r="H8"/>
      <c r="I8"/>
    </row>
    <row r="9" spans="2:9" ht="14.5" x14ac:dyDescent="0.35">
      <c r="B9" s="216" t="s">
        <v>138</v>
      </c>
      <c r="C9" s="213">
        <v>6400</v>
      </c>
      <c r="D9" s="214">
        <v>0</v>
      </c>
      <c r="E9" s="214">
        <v>6400</v>
      </c>
      <c r="F9"/>
      <c r="G9"/>
      <c r="H9"/>
      <c r="I9"/>
    </row>
    <row r="10" spans="2:9" ht="14.5" x14ac:dyDescent="0.35">
      <c r="B10" s="216" t="s">
        <v>139</v>
      </c>
      <c r="C10" s="213">
        <v>10000</v>
      </c>
      <c r="D10" s="214">
        <v>0</v>
      </c>
      <c r="E10" s="214">
        <v>10000</v>
      </c>
      <c r="F10"/>
      <c r="G10"/>
      <c r="H10"/>
      <c r="I10"/>
    </row>
    <row r="11" spans="2:9" ht="14.5" x14ac:dyDescent="0.35">
      <c r="B11" s="216" t="s">
        <v>140</v>
      </c>
      <c r="C11" s="213">
        <v>0</v>
      </c>
      <c r="D11" s="214">
        <v>0</v>
      </c>
      <c r="E11" s="214">
        <v>0</v>
      </c>
      <c r="F11"/>
      <c r="G11"/>
      <c r="H11"/>
      <c r="I11"/>
    </row>
    <row r="12" spans="2:9" ht="14.5" x14ac:dyDescent="0.35">
      <c r="B12" s="217" t="s">
        <v>141</v>
      </c>
      <c r="C12" s="213">
        <v>0</v>
      </c>
      <c r="D12" s="214">
        <v>0</v>
      </c>
      <c r="E12" s="214">
        <v>0</v>
      </c>
      <c r="F12"/>
      <c r="G12"/>
      <c r="H12"/>
      <c r="I12"/>
    </row>
    <row r="13" spans="2:9" ht="14.5" x14ac:dyDescent="0.35">
      <c r="B13" s="212" t="s">
        <v>289</v>
      </c>
      <c r="C13" s="213">
        <v>100000</v>
      </c>
      <c r="D13" s="214">
        <v>0</v>
      </c>
      <c r="E13" s="214">
        <v>100000</v>
      </c>
      <c r="F13"/>
      <c r="G13"/>
      <c r="H13"/>
      <c r="I13"/>
    </row>
    <row r="14" spans="2:9" ht="14.5" x14ac:dyDescent="0.35">
      <c r="B14" s="212" t="s">
        <v>142</v>
      </c>
      <c r="C14" s="213">
        <v>100000</v>
      </c>
      <c r="D14" s="214">
        <v>0</v>
      </c>
      <c r="E14" s="214">
        <v>100000</v>
      </c>
      <c r="F14"/>
      <c r="G14"/>
      <c r="H14"/>
      <c r="I14"/>
    </row>
    <row r="15" spans="2:9" ht="14.5" x14ac:dyDescent="0.35">
      <c r="B15" s="291" t="s">
        <v>143</v>
      </c>
      <c r="C15" s="218">
        <v>448400</v>
      </c>
      <c r="D15" s="219">
        <v>0</v>
      </c>
      <c r="E15" s="219">
        <v>448400</v>
      </c>
      <c r="F15"/>
      <c r="G15"/>
      <c r="H15"/>
      <c r="I15"/>
    </row>
    <row r="16" spans="2:9" ht="14.5" x14ac:dyDescent="0.35">
      <c r="B16"/>
      <c r="C16"/>
      <c r="D16"/>
      <c r="E16"/>
      <c r="F16"/>
      <c r="G16"/>
      <c r="H16"/>
      <c r="I16"/>
    </row>
    <row r="17" spans="2:7" ht="28" x14ac:dyDescent="0.3">
      <c r="B17" s="292" t="s">
        <v>144</v>
      </c>
      <c r="C17" s="293" t="s">
        <v>184</v>
      </c>
      <c r="D17" s="294" t="s">
        <v>185</v>
      </c>
      <c r="E17" s="294" t="s">
        <v>186</v>
      </c>
      <c r="F17" s="294" t="s">
        <v>187</v>
      </c>
      <c r="G17" s="295" t="s">
        <v>188</v>
      </c>
    </row>
    <row r="18" spans="2:7" x14ac:dyDescent="0.3">
      <c r="B18" s="201" t="s">
        <v>218</v>
      </c>
      <c r="C18" s="296">
        <v>448400</v>
      </c>
      <c r="D18" s="297">
        <v>448360</v>
      </c>
      <c r="E18" s="297">
        <v>126266.4</v>
      </c>
      <c r="F18" s="297">
        <v>84177.600000000006</v>
      </c>
      <c r="G18" s="298">
        <v>210444</v>
      </c>
    </row>
    <row r="19" spans="2:7" x14ac:dyDescent="0.3">
      <c r="B19" s="201" t="s">
        <v>182</v>
      </c>
      <c r="C19" s="201">
        <v>0</v>
      </c>
      <c r="D19" s="182">
        <v>0</v>
      </c>
      <c r="E19" s="182">
        <v>0</v>
      </c>
      <c r="F19" s="182">
        <v>0</v>
      </c>
      <c r="G19" s="203">
        <v>0</v>
      </c>
    </row>
    <row r="20" spans="2:7" x14ac:dyDescent="0.3">
      <c r="B20" s="299" t="s">
        <v>135</v>
      </c>
      <c r="C20" s="205">
        <v>448400</v>
      </c>
      <c r="D20" s="206">
        <v>448360</v>
      </c>
      <c r="E20" s="206">
        <v>126266.4</v>
      </c>
      <c r="F20" s="206">
        <v>84177.600000000006</v>
      </c>
      <c r="G20" s="207">
        <v>210444</v>
      </c>
    </row>
    <row r="21" spans="2:7" ht="14.5" x14ac:dyDescent="0.35">
      <c r="B21"/>
      <c r="C21"/>
      <c r="D21"/>
      <c r="E21"/>
      <c r="F21"/>
      <c r="G21"/>
    </row>
    <row r="28" spans="2:7" ht="26" x14ac:dyDescent="0.3">
      <c r="B28" s="175" t="s">
        <v>189</v>
      </c>
      <c r="C28" s="175" t="s">
        <v>190</v>
      </c>
      <c r="D28" s="175" t="s">
        <v>191</v>
      </c>
      <c r="E28" s="176" t="s">
        <v>192</v>
      </c>
    </row>
    <row r="29" spans="2:7" x14ac:dyDescent="0.3">
      <c r="B29" s="177">
        <f>GETPIVOTDATA("Montant de subventions",$B$17)/GETPIVOTDATA("Montant d'aide totale",$B$17)</f>
        <v>0.6</v>
      </c>
      <c r="C29" s="177">
        <f>GETPIVOTDATA("Montant d'avance remboursable",$B$17)/GETPIVOTDATA("Montant d'aide totale",$B$17)</f>
        <v>0.4</v>
      </c>
      <c r="D29" s="177">
        <f>GETPIVOTDATA("Montant d'aide totale",$B$17)/GETPIVOTDATA("Assiette retenue des coûts éligibles",$B$17)</f>
        <v>0.46936390400570971</v>
      </c>
      <c r="E29" s="178">
        <f>(GETPIVOTDATA("Coûts totaux",$B$17)-GETPIVOTDATA("Montant d'aide totale",$B$17))/GETPIVOTDATA("Montant d'aide totale",$B$17)</f>
        <v>1.1307331166486096</v>
      </c>
    </row>
    <row r="34" spans="1:13" ht="14.5" x14ac:dyDescent="0.35">
      <c r="B34" s="306" t="s">
        <v>143</v>
      </c>
      <c r="C34" s="307" t="s">
        <v>133</v>
      </c>
      <c r="D34" s="308"/>
      <c r="E34"/>
      <c r="F34" s="172"/>
    </row>
    <row r="35" spans="1:13" ht="14.5" x14ac:dyDescent="0.35">
      <c r="B35" s="220" t="s">
        <v>144</v>
      </c>
      <c r="C35" s="309" t="s">
        <v>218</v>
      </c>
      <c r="D35" s="309" t="s">
        <v>135</v>
      </c>
      <c r="E35"/>
    </row>
    <row r="36" spans="1:13" ht="14.5" x14ac:dyDescent="0.35">
      <c r="B36" s="289" t="s">
        <v>216</v>
      </c>
      <c r="C36" s="310">
        <v>24000</v>
      </c>
      <c r="D36" s="288">
        <v>24000</v>
      </c>
      <c r="E36"/>
    </row>
    <row r="37" spans="1:13" ht="14.5" x14ac:dyDescent="0.35">
      <c r="B37" s="216" t="s">
        <v>75</v>
      </c>
      <c r="C37" s="270">
        <v>100000</v>
      </c>
      <c r="D37" s="214">
        <v>100000</v>
      </c>
      <c r="E37"/>
      <c r="F37" s="172"/>
    </row>
    <row r="38" spans="1:13" ht="14.5" x14ac:dyDescent="0.35">
      <c r="B38" s="216" t="s">
        <v>287</v>
      </c>
      <c r="C38" s="270">
        <v>100000</v>
      </c>
      <c r="D38" s="214">
        <v>100000</v>
      </c>
      <c r="E38"/>
      <c r="F38" s="172"/>
      <c r="K38" s="172"/>
      <c r="L38" s="172"/>
      <c r="M38" s="172"/>
    </row>
    <row r="39" spans="1:13" ht="14.5" x14ac:dyDescent="0.35">
      <c r="B39" s="217" t="s">
        <v>217</v>
      </c>
      <c r="C39" s="270">
        <v>224400</v>
      </c>
      <c r="D39" s="214">
        <v>224400</v>
      </c>
      <c r="E39"/>
      <c r="F39" s="172"/>
      <c r="K39" s="172"/>
      <c r="L39" s="172"/>
      <c r="M39" s="172"/>
    </row>
    <row r="40" spans="1:13" ht="14.5" x14ac:dyDescent="0.35">
      <c r="B40" s="291" t="s">
        <v>135</v>
      </c>
      <c r="C40" s="271">
        <v>448400</v>
      </c>
      <c r="D40" s="219">
        <v>448400</v>
      </c>
      <c r="E40"/>
      <c r="F40" s="172"/>
      <c r="K40" s="172"/>
      <c r="L40" s="172"/>
      <c r="M40" s="172"/>
    </row>
    <row r="41" spans="1:13" x14ac:dyDescent="0.3">
      <c r="K41" s="172"/>
      <c r="L41" s="172"/>
      <c r="M41" s="172"/>
    </row>
    <row r="42" spans="1:13" x14ac:dyDescent="0.3">
      <c r="A42" s="171"/>
      <c r="B42" s="171"/>
      <c r="K42" s="172"/>
      <c r="L42" s="172"/>
      <c r="M42" s="172"/>
    </row>
    <row r="43" spans="1:13" x14ac:dyDescent="0.3">
      <c r="B43" s="208"/>
      <c r="C43" s="253" t="s">
        <v>133</v>
      </c>
      <c r="D43" s="254"/>
      <c r="E43" s="254"/>
      <c r="F43" s="255"/>
    </row>
    <row r="44" spans="1:13" x14ac:dyDescent="0.3">
      <c r="B44" s="256" t="s">
        <v>134</v>
      </c>
      <c r="C44" s="257" t="s">
        <v>218</v>
      </c>
      <c r="D44" s="257" t="s">
        <v>219</v>
      </c>
      <c r="E44" s="257" t="s">
        <v>182</v>
      </c>
      <c r="F44" s="258" t="s">
        <v>162</v>
      </c>
    </row>
    <row r="45" spans="1:13" x14ac:dyDescent="0.3">
      <c r="B45" s="215" t="s">
        <v>193</v>
      </c>
      <c r="C45" s="259">
        <v>4</v>
      </c>
      <c r="D45" s="259">
        <v>30</v>
      </c>
      <c r="E45" s="260">
        <v>0</v>
      </c>
      <c r="F45" s="260">
        <v>34</v>
      </c>
    </row>
    <row r="46" spans="1:13" x14ac:dyDescent="0.3">
      <c r="B46" s="216" t="s">
        <v>163</v>
      </c>
      <c r="C46" s="261">
        <v>349400</v>
      </c>
      <c r="D46" s="261">
        <v>180000</v>
      </c>
      <c r="E46" s="262">
        <v>0</v>
      </c>
      <c r="F46" s="262">
        <v>529400</v>
      </c>
    </row>
    <row r="47" spans="1:13" x14ac:dyDescent="0.3">
      <c r="B47" s="216" t="s">
        <v>164</v>
      </c>
      <c r="C47" s="261">
        <v>349400</v>
      </c>
      <c r="D47" s="261">
        <v>0</v>
      </c>
      <c r="E47" s="262">
        <v>0</v>
      </c>
      <c r="F47" s="262">
        <v>349400</v>
      </c>
    </row>
    <row r="48" spans="1:13" x14ac:dyDescent="0.3">
      <c r="B48" s="216" t="s">
        <v>165</v>
      </c>
      <c r="C48" s="261">
        <v>224400</v>
      </c>
      <c r="D48" s="261">
        <v>0</v>
      </c>
      <c r="E48" s="262">
        <v>0</v>
      </c>
      <c r="F48" s="262">
        <v>224400</v>
      </c>
    </row>
    <row r="49" spans="2:9" x14ac:dyDescent="0.3">
      <c r="B49" s="216" t="s">
        <v>166</v>
      </c>
      <c r="C49" s="261">
        <v>24000</v>
      </c>
      <c r="D49" s="261">
        <v>0</v>
      </c>
      <c r="E49" s="262">
        <v>0</v>
      </c>
      <c r="F49" s="262">
        <v>24000</v>
      </c>
    </row>
    <row r="50" spans="2:9" x14ac:dyDescent="0.3">
      <c r="B50" s="216" t="s">
        <v>291</v>
      </c>
      <c r="C50" s="261">
        <v>101000</v>
      </c>
      <c r="D50" s="261">
        <v>0</v>
      </c>
      <c r="E50" s="262">
        <v>0</v>
      </c>
      <c r="F50" s="262">
        <v>101000</v>
      </c>
    </row>
    <row r="51" spans="2:9" x14ac:dyDescent="0.3">
      <c r="B51" s="216" t="s">
        <v>169</v>
      </c>
      <c r="C51" s="261">
        <v>126217.5</v>
      </c>
      <c r="D51" s="261">
        <v>0</v>
      </c>
      <c r="E51" s="262">
        <v>0</v>
      </c>
      <c r="F51" s="262">
        <v>126217.5</v>
      </c>
    </row>
    <row r="52" spans="2:9" x14ac:dyDescent="0.3">
      <c r="B52" s="216" t="s">
        <v>170</v>
      </c>
      <c r="C52" s="261">
        <v>42072.5</v>
      </c>
      <c r="D52" s="261">
        <v>0</v>
      </c>
      <c r="E52" s="262">
        <v>0</v>
      </c>
      <c r="F52" s="262">
        <v>42072.5</v>
      </c>
    </row>
    <row r="53" spans="2:9" x14ac:dyDescent="0.3">
      <c r="B53" s="217" t="s">
        <v>171</v>
      </c>
      <c r="C53" s="263">
        <v>168290</v>
      </c>
      <c r="D53" s="263">
        <v>0</v>
      </c>
      <c r="E53" s="264">
        <v>0</v>
      </c>
      <c r="F53" s="264">
        <v>168290</v>
      </c>
    </row>
    <row r="54" spans="2:9" ht="14.5" x14ac:dyDescent="0.35">
      <c r="B54"/>
      <c r="C54"/>
      <c r="D54"/>
      <c r="E54"/>
      <c r="F54"/>
    </row>
    <row r="57" spans="2:9" ht="14.5" x14ac:dyDescent="0.35">
      <c r="B57" s="179" t="s">
        <v>63</v>
      </c>
      <c r="C57" s="76" t="s">
        <v>207</v>
      </c>
    </row>
    <row r="59" spans="2:9" ht="14.5" x14ac:dyDescent="0.35">
      <c r="B59" s="179" t="s">
        <v>144</v>
      </c>
      <c r="C59" s="76" t="s">
        <v>143</v>
      </c>
      <c r="D59" s="76"/>
      <c r="I59" s="180"/>
    </row>
    <row r="60" spans="2:9" ht="14.5" x14ac:dyDescent="0.35">
      <c r="B60" s="181" t="s">
        <v>6</v>
      </c>
      <c r="C60" s="76">
        <v>24000</v>
      </c>
      <c r="D60" s="76"/>
      <c r="I60" s="180"/>
    </row>
    <row r="61" spans="2:9" ht="14.5" x14ac:dyDescent="0.35">
      <c r="B61" s="181" t="s">
        <v>220</v>
      </c>
      <c r="C61" s="76">
        <v>224400</v>
      </c>
      <c r="D61" s="76"/>
      <c r="I61" s="180"/>
    </row>
    <row r="62" spans="2:9" ht="14.5" x14ac:dyDescent="0.35">
      <c r="B62" s="181" t="s">
        <v>222</v>
      </c>
      <c r="C62" s="76">
        <v>100000</v>
      </c>
      <c r="D62" s="76"/>
      <c r="I62" s="180"/>
    </row>
    <row r="63" spans="2:9" ht="14.5" x14ac:dyDescent="0.35">
      <c r="B63" s="181" t="s">
        <v>271</v>
      </c>
      <c r="C63" s="76">
        <v>100000</v>
      </c>
      <c r="D63" s="76"/>
      <c r="E63" s="172"/>
      <c r="F63" s="172"/>
      <c r="I63" s="180"/>
    </row>
    <row r="64" spans="2:9" ht="14.5" x14ac:dyDescent="0.35">
      <c r="B64" s="181" t="s">
        <v>182</v>
      </c>
      <c r="C64" s="76">
        <v>0</v>
      </c>
      <c r="D64" s="76"/>
      <c r="E64" s="172"/>
      <c r="F64" s="172"/>
      <c r="I64" s="180"/>
    </row>
    <row r="65" spans="2:16" ht="14.5" x14ac:dyDescent="0.35">
      <c r="B65" s="181" t="s">
        <v>135</v>
      </c>
      <c r="C65" s="76">
        <v>448400</v>
      </c>
      <c r="D65" s="76"/>
      <c r="E65" s="172"/>
      <c r="F65" s="172"/>
      <c r="I65" s="180"/>
    </row>
    <row r="66" spans="2:16" ht="14.5" x14ac:dyDescent="0.35">
      <c r="B66" s="76"/>
      <c r="C66" s="76"/>
      <c r="D66" s="76"/>
      <c r="E66" s="172"/>
      <c r="F66" s="172"/>
      <c r="I66" s="180"/>
    </row>
    <row r="67" spans="2:16" ht="14.5" x14ac:dyDescent="0.35">
      <c r="B67" s="76"/>
      <c r="C67" s="76"/>
      <c r="D67" s="76"/>
      <c r="E67" s="172"/>
      <c r="F67" s="172"/>
      <c r="I67" s="180"/>
    </row>
    <row r="68" spans="2:16" ht="14.5" x14ac:dyDescent="0.35">
      <c r="B68" s="76"/>
      <c r="C68" s="76"/>
      <c r="D68" s="76"/>
      <c r="E68" s="172"/>
      <c r="F68" s="172"/>
      <c r="I68" s="180"/>
    </row>
    <row r="69" spans="2:16" ht="14.5" x14ac:dyDescent="0.35">
      <c r="B69" s="76"/>
      <c r="C69" s="76"/>
      <c r="D69" s="76"/>
      <c r="G69" s="171"/>
      <c r="I69" s="180"/>
    </row>
    <row r="70" spans="2:16" ht="14.5" x14ac:dyDescent="0.35">
      <c r="B70" s="76"/>
      <c r="C70" s="76"/>
      <c r="D70" s="76"/>
      <c r="G70" s="171"/>
      <c r="I70" s="180"/>
    </row>
    <row r="71" spans="2:16" ht="14.5" x14ac:dyDescent="0.35">
      <c r="B71" s="76"/>
      <c r="C71" s="76"/>
      <c r="D71" s="76"/>
      <c r="G71" s="171"/>
      <c r="I71" s="180"/>
    </row>
    <row r="72" spans="2:16" ht="14.5" x14ac:dyDescent="0.35">
      <c r="B72" s="76"/>
      <c r="C72" s="76"/>
      <c r="D72" s="76"/>
      <c r="G72" s="171"/>
      <c r="I72" s="180"/>
    </row>
    <row r="73" spans="2:16" ht="14.5" x14ac:dyDescent="0.35">
      <c r="B73" s="76"/>
      <c r="C73" s="76"/>
      <c r="D73" s="76"/>
      <c r="G73" s="171"/>
      <c r="I73" s="180"/>
    </row>
    <row r="74" spans="2:16" ht="14.5" x14ac:dyDescent="0.35">
      <c r="B74" s="76"/>
      <c r="C74" s="76"/>
      <c r="D74" s="76"/>
      <c r="G74" s="171"/>
    </row>
    <row r="75" spans="2:16" ht="14.5" x14ac:dyDescent="0.35">
      <c r="B75" s="76"/>
      <c r="C75" s="76"/>
      <c r="D75" s="76"/>
      <c r="G75" s="171"/>
    </row>
    <row r="76" spans="2:16" ht="14.5" x14ac:dyDescent="0.35">
      <c r="B76" s="76"/>
      <c r="C76" s="76"/>
      <c r="D76" s="76"/>
    </row>
    <row r="77" spans="2:16" ht="14.5" x14ac:dyDescent="0.35">
      <c r="B77" s="179" t="s">
        <v>63</v>
      </c>
      <c r="C77" s="76" t="s">
        <v>207</v>
      </c>
      <c r="D77" s="76"/>
    </row>
    <row r="79" spans="2:16" ht="14.5" x14ac:dyDescent="0.35">
      <c r="B79" s="179" t="s">
        <v>144</v>
      </c>
      <c r="C79" s="76" t="s">
        <v>209</v>
      </c>
      <c r="D79" s="76" t="s">
        <v>221</v>
      </c>
      <c r="E79" s="76" t="s">
        <v>138</v>
      </c>
      <c r="F79" s="76" t="s">
        <v>139</v>
      </c>
      <c r="G79" s="76" t="s">
        <v>141</v>
      </c>
      <c r="H79" s="76" t="s">
        <v>140</v>
      </c>
      <c r="I79" s="76" t="s">
        <v>142</v>
      </c>
      <c r="J79"/>
      <c r="K79" s="172"/>
      <c r="L79" s="172"/>
      <c r="M79" s="172"/>
      <c r="N79" s="172"/>
      <c r="O79" s="172"/>
      <c r="P79" s="172"/>
    </row>
    <row r="80" spans="2:16" ht="14.5" x14ac:dyDescent="0.35">
      <c r="B80" s="181" t="s">
        <v>130</v>
      </c>
      <c r="C80" s="76">
        <v>16000</v>
      </c>
      <c r="D80" s="76"/>
      <c r="E80" s="76">
        <v>3200</v>
      </c>
      <c r="F80" s="76">
        <v>10000</v>
      </c>
      <c r="G80" s="76">
        <v>0</v>
      </c>
      <c r="H80" s="76">
        <v>0</v>
      </c>
      <c r="I80" s="76">
        <v>0</v>
      </c>
      <c r="J80"/>
      <c r="K80" s="172"/>
      <c r="L80" s="172"/>
      <c r="M80" s="172"/>
      <c r="N80" s="172"/>
      <c r="O80" s="172"/>
      <c r="P80" s="172"/>
    </row>
    <row r="81" spans="2:16" ht="14.5" x14ac:dyDescent="0.35">
      <c r="B81" s="181" t="s">
        <v>197</v>
      </c>
      <c r="C81" s="76">
        <v>16000</v>
      </c>
      <c r="D81" s="76"/>
      <c r="E81" s="76">
        <v>3200</v>
      </c>
      <c r="F81" s="76">
        <v>0</v>
      </c>
      <c r="G81" s="76">
        <v>0</v>
      </c>
      <c r="H81" s="76">
        <v>0</v>
      </c>
      <c r="I81" s="76">
        <v>100000</v>
      </c>
      <c r="J81"/>
      <c r="K81" s="172"/>
      <c r="L81" s="172"/>
      <c r="M81" s="172"/>
      <c r="N81" s="172"/>
      <c r="O81" s="172"/>
      <c r="P81" s="172"/>
    </row>
    <row r="82" spans="2:16" ht="14.5" x14ac:dyDescent="0.35">
      <c r="B82" s="181" t="s">
        <v>182</v>
      </c>
      <c r="C82" s="76">
        <v>0</v>
      </c>
      <c r="D82" s="76"/>
      <c r="E82" s="76">
        <v>0</v>
      </c>
      <c r="F82" s="76">
        <v>0</v>
      </c>
      <c r="G82" s="76">
        <v>0</v>
      </c>
      <c r="H82" s="76">
        <v>0</v>
      </c>
      <c r="I82" s="76">
        <v>0</v>
      </c>
      <c r="J82"/>
      <c r="K82" s="172"/>
      <c r="L82" s="172"/>
      <c r="M82" s="172"/>
      <c r="N82" s="172"/>
      <c r="O82" s="172"/>
      <c r="P82" s="172"/>
    </row>
    <row r="83" spans="2:16" ht="14.5" x14ac:dyDescent="0.35">
      <c r="B83" s="181" t="s">
        <v>135</v>
      </c>
      <c r="C83" s="76">
        <v>32000</v>
      </c>
      <c r="D83" s="76"/>
      <c r="E83" s="76">
        <v>6400</v>
      </c>
      <c r="F83" s="76">
        <v>10000</v>
      </c>
      <c r="G83" s="76">
        <v>0</v>
      </c>
      <c r="H83" s="76">
        <v>0</v>
      </c>
      <c r="I83" s="76">
        <v>100000</v>
      </c>
      <c r="J83"/>
      <c r="K83" s="172"/>
      <c r="L83" s="172"/>
      <c r="M83" s="172"/>
      <c r="N83" s="172"/>
      <c r="O83" s="172"/>
      <c r="P83" s="172"/>
    </row>
    <row r="84" spans="2:16" ht="14.5" x14ac:dyDescent="0.35">
      <c r="B84"/>
      <c r="C84"/>
      <c r="D84"/>
      <c r="E84"/>
      <c r="F84"/>
      <c r="G84"/>
      <c r="H84"/>
      <c r="I84"/>
      <c r="J84"/>
      <c r="K84" s="172"/>
      <c r="L84" s="172"/>
      <c r="M84" s="172"/>
      <c r="N84" s="172"/>
      <c r="O84" s="172"/>
      <c r="P84" s="172"/>
    </row>
    <row r="85" spans="2:16" ht="14.5" x14ac:dyDescent="0.35">
      <c r="B85" s="76"/>
      <c r="C85" s="76"/>
      <c r="D85" s="76"/>
      <c r="E85" s="172"/>
      <c r="F85" s="172"/>
      <c r="K85" s="172"/>
      <c r="L85" s="172"/>
      <c r="M85" s="172"/>
      <c r="N85" s="172"/>
      <c r="O85" s="172"/>
      <c r="P85" s="172"/>
    </row>
    <row r="86" spans="2:16" ht="14.5" x14ac:dyDescent="0.35">
      <c r="B86" s="76"/>
      <c r="C86" s="76"/>
      <c r="D86" s="76"/>
      <c r="E86" s="172"/>
      <c r="F86" s="172"/>
      <c r="K86" s="172"/>
      <c r="L86" s="172"/>
      <c r="M86" s="172"/>
      <c r="N86" s="172"/>
      <c r="O86" s="172"/>
      <c r="P86" s="172"/>
    </row>
    <row r="87" spans="2:16" ht="14.5" x14ac:dyDescent="0.35">
      <c r="B87" s="76"/>
      <c r="C87" s="76"/>
      <c r="D87" s="76"/>
    </row>
    <row r="88" spans="2:16" ht="14.5" x14ac:dyDescent="0.35">
      <c r="B88" s="76"/>
      <c r="C88" s="76"/>
      <c r="D88" s="76"/>
    </row>
    <row r="89" spans="2:16" ht="14.5" x14ac:dyDescent="0.35">
      <c r="B89" s="76"/>
      <c r="C89" s="76"/>
      <c r="D89" s="76"/>
    </row>
    <row r="90" spans="2:16" ht="14.5" x14ac:dyDescent="0.35">
      <c r="B90" s="76"/>
      <c r="C90" s="76"/>
      <c r="D90" s="76"/>
    </row>
    <row r="91" spans="2:16" ht="14.5" x14ac:dyDescent="0.35">
      <c r="B91" s="76"/>
      <c r="C91" s="76"/>
      <c r="D91" s="76"/>
    </row>
    <row r="92" spans="2:16" ht="14.5" x14ac:dyDescent="0.35">
      <c r="B92" s="76"/>
      <c r="C92" s="76"/>
      <c r="D92" s="76"/>
    </row>
    <row r="93" spans="2:16" ht="14.5" x14ac:dyDescent="0.35">
      <c r="B93" s="76"/>
      <c r="C93" s="76"/>
      <c r="D93" s="76"/>
    </row>
    <row r="94" spans="2:16" ht="14.5" x14ac:dyDescent="0.35">
      <c r="B94" s="76"/>
      <c r="C94" s="76"/>
      <c r="D94" s="76"/>
    </row>
    <row r="95" spans="2:16" ht="14.5" x14ac:dyDescent="0.35">
      <c r="B95" s="76"/>
      <c r="C95" s="76"/>
      <c r="D95" s="76"/>
    </row>
    <row r="96" spans="2:16" ht="14.5" x14ac:dyDescent="0.35">
      <c r="B96" s="76"/>
      <c r="C96" s="76"/>
      <c r="D96" s="76"/>
    </row>
    <row r="110" spans="2:7" ht="14.5" x14ac:dyDescent="0.35">
      <c r="B110" s="265" t="s">
        <v>63</v>
      </c>
      <c r="C110" s="204" t="s">
        <v>207</v>
      </c>
      <c r="D110" s="76"/>
      <c r="G110" s="171"/>
    </row>
    <row r="111" spans="2:7" ht="14.5" x14ac:dyDescent="0.35">
      <c r="B111" s="76"/>
      <c r="C111" s="76"/>
      <c r="D111" s="76"/>
      <c r="G111" s="171"/>
    </row>
    <row r="112" spans="2:7" ht="14.5" x14ac:dyDescent="0.35">
      <c r="B112" s="200" t="s">
        <v>144</v>
      </c>
      <c r="C112" s="202" t="s">
        <v>188</v>
      </c>
      <c r="D112" s="76"/>
      <c r="E112" s="76"/>
      <c r="F112" s="76"/>
      <c r="G112" s="171"/>
    </row>
    <row r="113" spans="2:7" ht="14.5" x14ac:dyDescent="0.35">
      <c r="B113" s="201" t="s">
        <v>130</v>
      </c>
      <c r="C113" s="266">
        <v>99770</v>
      </c>
      <c r="D113" s="76"/>
      <c r="E113" s="76"/>
      <c r="F113" s="76"/>
      <c r="G113" s="171"/>
    </row>
    <row r="114" spans="2:7" ht="14.5" x14ac:dyDescent="0.35">
      <c r="B114" s="201" t="s">
        <v>197</v>
      </c>
      <c r="C114" s="267">
        <v>68520</v>
      </c>
      <c r="D114" s="76"/>
      <c r="E114" s="76"/>
      <c r="F114" s="76"/>
      <c r="G114" s="171"/>
    </row>
    <row r="115" spans="2:7" ht="14.5" x14ac:dyDescent="0.35">
      <c r="B115" s="201" t="s">
        <v>182</v>
      </c>
      <c r="C115" s="267">
        <v>0</v>
      </c>
      <c r="D115" s="76"/>
      <c r="E115" s="76"/>
      <c r="F115" s="76"/>
      <c r="G115" s="171"/>
    </row>
    <row r="116" spans="2:7" ht="14.5" x14ac:dyDescent="0.35">
      <c r="B116" s="204" t="s">
        <v>135</v>
      </c>
      <c r="C116" s="268">
        <v>168290</v>
      </c>
      <c r="D116" s="76"/>
      <c r="E116" s="76"/>
      <c r="F116" s="76"/>
    </row>
    <row r="117" spans="2:7" ht="14.5" x14ac:dyDescent="0.35">
      <c r="B117"/>
      <c r="C117"/>
      <c r="D117" s="182"/>
      <c r="E117" s="182"/>
      <c r="F117" s="182"/>
    </row>
    <row r="118" spans="2:7" x14ac:dyDescent="0.3">
      <c r="B118" s="182"/>
      <c r="C118" s="182"/>
      <c r="D118" s="182"/>
      <c r="E118" s="182"/>
      <c r="F118" s="182"/>
    </row>
    <row r="119" spans="2:7" x14ac:dyDescent="0.3">
      <c r="B119" s="182"/>
      <c r="C119" s="182"/>
      <c r="D119" s="182"/>
      <c r="E119" s="182"/>
      <c r="F119" s="182"/>
    </row>
    <row r="120" spans="2:7" x14ac:dyDescent="0.3">
      <c r="B120" s="182"/>
      <c r="C120" s="182"/>
      <c r="D120" s="182"/>
      <c r="E120" s="182"/>
      <c r="F120" s="182"/>
    </row>
    <row r="121" spans="2:7" x14ac:dyDescent="0.3">
      <c r="B121" s="182"/>
      <c r="C121" s="182"/>
      <c r="D121" s="182"/>
      <c r="E121" s="182"/>
      <c r="F121" s="182"/>
    </row>
    <row r="122" spans="2:7" x14ac:dyDescent="0.3">
      <c r="B122" s="182"/>
      <c r="C122" s="182"/>
      <c r="D122" s="182"/>
      <c r="E122" s="182"/>
      <c r="F122" s="182"/>
    </row>
    <row r="123" spans="2:7" x14ac:dyDescent="0.3">
      <c r="B123" s="182"/>
      <c r="C123" s="182"/>
      <c r="D123" s="182"/>
      <c r="E123" s="182"/>
      <c r="F123" s="182"/>
    </row>
    <row r="124" spans="2:7" x14ac:dyDescent="0.3">
      <c r="B124" s="182"/>
      <c r="C124" s="182"/>
      <c r="D124" s="182"/>
      <c r="E124" s="182"/>
      <c r="F124" s="182"/>
    </row>
  </sheetData>
  <pageMargins left="0.7" right="0.7" top="0.75" bottom="0.75" header="0.3" footer="0.3"/>
  <pageSetup paperSize="9"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theme="0" tint="-0.14999847407452621"/>
  </sheetPr>
  <dimension ref="A1:U122"/>
  <sheetViews>
    <sheetView zoomScale="60" zoomScaleNormal="60" workbookViewId="0">
      <selection activeCell="D4" sqref="D4"/>
    </sheetView>
  </sheetViews>
  <sheetFormatPr baseColWidth="10" defaultColWidth="11.453125" defaultRowHeight="14.5" x14ac:dyDescent="0.35"/>
  <cols>
    <col min="1" max="1" width="25.7265625" style="85" customWidth="1"/>
    <col min="2" max="2" width="49.1796875" style="85" customWidth="1"/>
    <col min="3" max="8" width="12.26953125" style="85" customWidth="1"/>
    <col min="9" max="10" width="11.7265625" style="85" customWidth="1"/>
    <col min="11" max="11" width="16.81640625" style="85" customWidth="1"/>
    <col min="12" max="12" width="26.1796875" style="85" customWidth="1"/>
    <col min="13" max="13" width="16.7265625" style="85" customWidth="1"/>
    <col min="14" max="14" width="16.26953125" style="85" customWidth="1"/>
    <col min="15" max="15" width="24.6328125" style="85" customWidth="1"/>
    <col min="16" max="16" width="13.7265625" style="85" customWidth="1"/>
    <col min="17" max="17" width="15.36328125" style="85" customWidth="1"/>
    <col min="18" max="18" width="10.90625" style="85" customWidth="1"/>
    <col min="19" max="19" width="14.1796875" style="85" customWidth="1"/>
    <col min="20" max="16384" width="11.453125" style="85"/>
  </cols>
  <sheetData>
    <row r="1" spans="1:21" x14ac:dyDescent="0.35">
      <c r="A1" s="221" t="s">
        <v>63</v>
      </c>
      <c r="B1" s="222" t="s">
        <v>207</v>
      </c>
      <c r="D1" s="123" t="s">
        <v>275</v>
      </c>
    </row>
    <row r="3" spans="1:21" ht="33" customHeight="1" x14ac:dyDescent="0.35">
      <c r="A3" s="223"/>
      <c r="B3" s="224"/>
      <c r="C3" s="223" t="s">
        <v>133</v>
      </c>
      <c r="D3" s="224"/>
      <c r="E3" s="224"/>
      <c r="F3" s="224"/>
      <c r="G3" s="224"/>
      <c r="H3" s="224"/>
      <c r="I3" s="224"/>
      <c r="J3" s="224"/>
      <c r="K3" s="224"/>
      <c r="L3" s="224"/>
      <c r="M3" s="225"/>
      <c r="N3"/>
      <c r="O3"/>
      <c r="P3"/>
      <c r="Q3"/>
      <c r="R3"/>
      <c r="S3"/>
      <c r="T3"/>
      <c r="U3"/>
    </row>
    <row r="4" spans="1:21" ht="54.75" customHeight="1" x14ac:dyDescent="0.35">
      <c r="A4" s="226"/>
      <c r="B4" s="227"/>
      <c r="C4" s="223" t="s">
        <v>330</v>
      </c>
      <c r="D4" s="315" t="s">
        <v>331</v>
      </c>
      <c r="E4" s="223" t="s">
        <v>261</v>
      </c>
      <c r="F4" s="224"/>
      <c r="G4" s="250" t="s">
        <v>266</v>
      </c>
      <c r="H4" s="234" t="s">
        <v>264</v>
      </c>
      <c r="I4" s="252"/>
      <c r="J4" s="250" t="s">
        <v>265</v>
      </c>
      <c r="K4" s="228" t="s">
        <v>287</v>
      </c>
      <c r="L4" s="228" t="s">
        <v>288</v>
      </c>
      <c r="M4" s="248" t="s">
        <v>246</v>
      </c>
      <c r="N4"/>
      <c r="O4"/>
      <c r="P4"/>
      <c r="Q4"/>
      <c r="R4"/>
      <c r="S4"/>
      <c r="T4"/>
      <c r="U4"/>
    </row>
    <row r="5" spans="1:21" ht="39" customHeight="1" x14ac:dyDescent="0.35">
      <c r="A5" s="230" t="s">
        <v>144</v>
      </c>
      <c r="B5" s="231" t="s">
        <v>134</v>
      </c>
      <c r="C5" s="228" t="s">
        <v>75</v>
      </c>
      <c r="D5" s="316"/>
      <c r="E5" s="228" t="s">
        <v>262</v>
      </c>
      <c r="F5" s="233" t="s">
        <v>263</v>
      </c>
      <c r="G5" s="251"/>
      <c r="H5" s="228" t="s">
        <v>260</v>
      </c>
      <c r="I5" s="233" t="s">
        <v>105</v>
      </c>
      <c r="J5" s="251"/>
      <c r="K5" s="228" t="s">
        <v>287</v>
      </c>
      <c r="L5" s="232"/>
      <c r="M5" s="249"/>
      <c r="N5"/>
      <c r="O5"/>
      <c r="P5"/>
      <c r="Q5"/>
      <c r="R5"/>
      <c r="S5"/>
      <c r="T5"/>
      <c r="U5"/>
    </row>
    <row r="6" spans="1:21" ht="17.25" customHeight="1" x14ac:dyDescent="0.35">
      <c r="A6" s="234" t="s">
        <v>6</v>
      </c>
      <c r="B6" s="235" t="s">
        <v>254</v>
      </c>
      <c r="C6" s="228"/>
      <c r="D6" s="228"/>
      <c r="E6" s="228"/>
      <c r="F6" s="233"/>
      <c r="G6" s="228"/>
      <c r="H6" s="228"/>
      <c r="I6" s="233"/>
      <c r="J6" s="228"/>
      <c r="K6" s="228"/>
      <c r="L6" s="228"/>
      <c r="M6" s="236"/>
      <c r="N6"/>
      <c r="O6"/>
      <c r="P6"/>
      <c r="Q6"/>
      <c r="R6"/>
      <c r="S6"/>
      <c r="T6"/>
      <c r="U6"/>
    </row>
    <row r="7" spans="1:21" ht="17.25" customHeight="1" x14ac:dyDescent="0.35">
      <c r="A7" s="226"/>
      <c r="B7" s="311">
        <v>0</v>
      </c>
      <c r="C7" s="232">
        <v>0</v>
      </c>
      <c r="D7" s="232">
        <v>0</v>
      </c>
      <c r="E7" s="232">
        <v>20000</v>
      </c>
      <c r="F7" s="241">
        <v>0</v>
      </c>
      <c r="G7" s="232">
        <v>20000</v>
      </c>
      <c r="H7" s="232">
        <v>0</v>
      </c>
      <c r="I7" s="241">
        <v>0</v>
      </c>
      <c r="J7" s="232">
        <v>0</v>
      </c>
      <c r="K7" s="232">
        <v>0</v>
      </c>
      <c r="L7" s="232">
        <v>0</v>
      </c>
      <c r="M7" s="242">
        <v>20000</v>
      </c>
      <c r="N7"/>
      <c r="O7"/>
      <c r="P7"/>
      <c r="Q7"/>
      <c r="R7"/>
      <c r="S7"/>
      <c r="T7"/>
      <c r="U7"/>
    </row>
    <row r="8" spans="1:21" ht="17.25" customHeight="1" x14ac:dyDescent="0.35">
      <c r="A8" s="226"/>
      <c r="B8" s="237" t="s">
        <v>256</v>
      </c>
      <c r="C8" s="226"/>
      <c r="D8" s="226"/>
      <c r="E8" s="226"/>
      <c r="F8" s="238"/>
      <c r="G8" s="226"/>
      <c r="H8" s="226"/>
      <c r="I8" s="238"/>
      <c r="J8" s="226"/>
      <c r="K8" s="226"/>
      <c r="L8" s="226"/>
      <c r="M8" s="239"/>
      <c r="N8"/>
      <c r="O8"/>
      <c r="P8"/>
      <c r="Q8"/>
      <c r="R8"/>
      <c r="S8"/>
      <c r="T8"/>
      <c r="U8"/>
    </row>
    <row r="9" spans="1:21" ht="17.25" customHeight="1" x14ac:dyDescent="0.35">
      <c r="A9" s="226"/>
      <c r="B9" s="312">
        <v>0</v>
      </c>
      <c r="C9" s="232">
        <v>0</v>
      </c>
      <c r="D9" s="232">
        <v>0</v>
      </c>
      <c r="E9" s="232">
        <v>0</v>
      </c>
      <c r="F9" s="241">
        <v>0</v>
      </c>
      <c r="G9" s="232">
        <v>0</v>
      </c>
      <c r="H9" s="232">
        <v>0</v>
      </c>
      <c r="I9" s="241">
        <v>0</v>
      </c>
      <c r="J9" s="232">
        <v>0</v>
      </c>
      <c r="K9" s="232">
        <v>0</v>
      </c>
      <c r="L9" s="232">
        <v>0</v>
      </c>
      <c r="M9" s="242">
        <v>0</v>
      </c>
      <c r="N9"/>
      <c r="O9"/>
      <c r="P9"/>
      <c r="Q9"/>
      <c r="R9"/>
      <c r="S9"/>
      <c r="T9"/>
      <c r="U9"/>
    </row>
    <row r="10" spans="1:21" ht="17.25" customHeight="1" x14ac:dyDescent="0.35">
      <c r="A10" s="226"/>
      <c r="B10" s="237" t="s">
        <v>138</v>
      </c>
      <c r="C10" s="226"/>
      <c r="D10" s="226"/>
      <c r="E10" s="226"/>
      <c r="F10" s="238"/>
      <c r="G10" s="226"/>
      <c r="H10" s="226"/>
      <c r="I10" s="238"/>
      <c r="J10" s="226"/>
      <c r="K10" s="226"/>
      <c r="L10" s="226"/>
      <c r="M10" s="239"/>
      <c r="N10"/>
      <c r="O10"/>
      <c r="P10"/>
      <c r="Q10"/>
      <c r="R10"/>
      <c r="S10"/>
      <c r="T10"/>
      <c r="U10"/>
    </row>
    <row r="11" spans="1:21" ht="17.25" customHeight="1" x14ac:dyDescent="0.35">
      <c r="A11" s="226"/>
      <c r="B11" s="312">
        <v>0</v>
      </c>
      <c r="C11" s="232">
        <v>0</v>
      </c>
      <c r="D11" s="232">
        <v>0</v>
      </c>
      <c r="E11" s="232">
        <v>4000</v>
      </c>
      <c r="F11" s="241">
        <v>0</v>
      </c>
      <c r="G11" s="232">
        <v>4000</v>
      </c>
      <c r="H11" s="232">
        <v>0</v>
      </c>
      <c r="I11" s="241">
        <v>0</v>
      </c>
      <c r="J11" s="232">
        <v>0</v>
      </c>
      <c r="K11" s="232">
        <v>0</v>
      </c>
      <c r="L11" s="232">
        <v>0</v>
      </c>
      <c r="M11" s="242">
        <v>4000</v>
      </c>
      <c r="N11"/>
      <c r="O11"/>
      <c r="P11"/>
      <c r="Q11"/>
      <c r="R11"/>
      <c r="S11"/>
      <c r="T11"/>
      <c r="U11"/>
    </row>
    <row r="12" spans="1:21" ht="17.25" customHeight="1" x14ac:dyDescent="0.35">
      <c r="A12" s="226"/>
      <c r="B12" s="237" t="s">
        <v>139</v>
      </c>
      <c r="C12" s="226"/>
      <c r="D12" s="226"/>
      <c r="E12" s="226"/>
      <c r="F12" s="238"/>
      <c r="G12" s="226"/>
      <c r="H12" s="226"/>
      <c r="I12" s="238"/>
      <c r="J12" s="226"/>
      <c r="K12" s="226"/>
      <c r="L12" s="226"/>
      <c r="M12" s="239"/>
      <c r="N12"/>
      <c r="O12"/>
      <c r="P12"/>
      <c r="Q12"/>
      <c r="R12"/>
      <c r="S12"/>
      <c r="T12"/>
      <c r="U12"/>
    </row>
    <row r="13" spans="1:21" ht="17.25" customHeight="1" x14ac:dyDescent="0.35">
      <c r="A13" s="226"/>
      <c r="B13" s="312">
        <v>0</v>
      </c>
      <c r="C13" s="232">
        <v>0</v>
      </c>
      <c r="D13" s="232">
        <v>0</v>
      </c>
      <c r="E13" s="232">
        <v>0</v>
      </c>
      <c r="F13" s="241">
        <v>0</v>
      </c>
      <c r="G13" s="232">
        <v>0</v>
      </c>
      <c r="H13" s="232">
        <v>0</v>
      </c>
      <c r="I13" s="241">
        <v>0</v>
      </c>
      <c r="J13" s="232">
        <v>0</v>
      </c>
      <c r="K13" s="232">
        <v>0</v>
      </c>
      <c r="L13" s="232">
        <v>0</v>
      </c>
      <c r="M13" s="242">
        <v>0</v>
      </c>
      <c r="N13"/>
      <c r="O13"/>
      <c r="P13"/>
      <c r="Q13"/>
      <c r="R13"/>
      <c r="S13"/>
      <c r="T13"/>
      <c r="U13"/>
    </row>
    <row r="14" spans="1:21" ht="17.25" customHeight="1" x14ac:dyDescent="0.35">
      <c r="A14" s="226"/>
      <c r="B14" s="237" t="s">
        <v>141</v>
      </c>
      <c r="C14" s="226"/>
      <c r="D14" s="226"/>
      <c r="E14" s="226"/>
      <c r="F14" s="238"/>
      <c r="G14" s="226"/>
      <c r="H14" s="226"/>
      <c r="I14" s="238"/>
      <c r="J14" s="226"/>
      <c r="K14" s="226"/>
      <c r="L14" s="226"/>
      <c r="M14" s="239"/>
      <c r="N14"/>
      <c r="O14"/>
      <c r="P14"/>
      <c r="Q14"/>
      <c r="R14"/>
      <c r="S14"/>
      <c r="T14"/>
      <c r="U14"/>
    </row>
    <row r="15" spans="1:21" ht="17.25" customHeight="1" x14ac:dyDescent="0.35">
      <c r="A15" s="226"/>
      <c r="B15" s="312">
        <v>0</v>
      </c>
      <c r="C15" s="232">
        <v>0</v>
      </c>
      <c r="D15" s="232">
        <v>0</v>
      </c>
      <c r="E15" s="232">
        <v>0</v>
      </c>
      <c r="F15" s="241">
        <v>0</v>
      </c>
      <c r="G15" s="232">
        <v>0</v>
      </c>
      <c r="H15" s="232">
        <v>0</v>
      </c>
      <c r="I15" s="241">
        <v>0</v>
      </c>
      <c r="J15" s="232">
        <v>0</v>
      </c>
      <c r="K15" s="232">
        <v>0</v>
      </c>
      <c r="L15" s="232">
        <v>0</v>
      </c>
      <c r="M15" s="242">
        <v>0</v>
      </c>
      <c r="N15"/>
      <c r="O15"/>
      <c r="P15"/>
      <c r="Q15"/>
      <c r="R15"/>
      <c r="S15"/>
      <c r="T15"/>
      <c r="U15"/>
    </row>
    <row r="16" spans="1:21" ht="17.25" customHeight="1" x14ac:dyDescent="0.35">
      <c r="A16" s="226"/>
      <c r="B16" s="237" t="s">
        <v>140</v>
      </c>
      <c r="C16" s="226"/>
      <c r="D16" s="226"/>
      <c r="E16" s="226"/>
      <c r="F16" s="238"/>
      <c r="G16" s="226"/>
      <c r="H16" s="226"/>
      <c r="I16" s="238"/>
      <c r="J16" s="226"/>
      <c r="K16" s="226"/>
      <c r="L16" s="226"/>
      <c r="M16" s="239"/>
      <c r="N16"/>
      <c r="O16"/>
      <c r="P16"/>
      <c r="Q16"/>
      <c r="R16"/>
      <c r="S16"/>
      <c r="T16"/>
      <c r="U16"/>
    </row>
    <row r="17" spans="1:21" ht="17.25" customHeight="1" x14ac:dyDescent="0.35">
      <c r="A17" s="226"/>
      <c r="B17" s="312">
        <v>0</v>
      </c>
      <c r="C17" s="232">
        <v>0</v>
      </c>
      <c r="D17" s="232">
        <v>0</v>
      </c>
      <c r="E17" s="232">
        <v>0</v>
      </c>
      <c r="F17" s="241">
        <v>0</v>
      </c>
      <c r="G17" s="232">
        <v>0</v>
      </c>
      <c r="H17" s="232">
        <v>0</v>
      </c>
      <c r="I17" s="241">
        <v>0</v>
      </c>
      <c r="J17" s="232">
        <v>0</v>
      </c>
      <c r="K17" s="232">
        <v>0</v>
      </c>
      <c r="L17" s="232">
        <v>0</v>
      </c>
      <c r="M17" s="242">
        <v>0</v>
      </c>
      <c r="N17"/>
      <c r="O17"/>
      <c r="P17"/>
      <c r="Q17"/>
      <c r="R17"/>
      <c r="S17"/>
      <c r="T17"/>
      <c r="U17"/>
    </row>
    <row r="18" spans="1:21" ht="17.25" customHeight="1" x14ac:dyDescent="0.35">
      <c r="A18" s="226"/>
      <c r="B18" s="240" t="s">
        <v>289</v>
      </c>
      <c r="C18" s="232"/>
      <c r="D18" s="232"/>
      <c r="E18" s="232"/>
      <c r="F18" s="241"/>
      <c r="G18" s="232"/>
      <c r="H18" s="232"/>
      <c r="I18" s="241"/>
      <c r="J18" s="232"/>
      <c r="K18" s="232"/>
      <c r="L18" s="232"/>
      <c r="M18" s="242"/>
      <c r="N18"/>
      <c r="O18"/>
      <c r="P18"/>
      <c r="Q18"/>
      <c r="R18"/>
      <c r="S18"/>
      <c r="T18"/>
      <c r="U18"/>
    </row>
    <row r="19" spans="1:21" ht="17.25" customHeight="1" x14ac:dyDescent="0.35">
      <c r="A19" s="226"/>
      <c r="B19" s="311">
        <v>0</v>
      </c>
      <c r="C19" s="232">
        <v>0</v>
      </c>
      <c r="D19" s="232">
        <v>0</v>
      </c>
      <c r="E19" s="232">
        <v>0</v>
      </c>
      <c r="F19" s="241">
        <v>0</v>
      </c>
      <c r="G19" s="232">
        <v>0</v>
      </c>
      <c r="H19" s="232">
        <v>0</v>
      </c>
      <c r="I19" s="241">
        <v>0</v>
      </c>
      <c r="J19" s="232">
        <v>0</v>
      </c>
      <c r="K19" s="232">
        <v>0</v>
      </c>
      <c r="L19" s="232">
        <v>0</v>
      </c>
      <c r="M19" s="242">
        <v>0</v>
      </c>
      <c r="N19"/>
      <c r="O19"/>
      <c r="P19"/>
      <c r="Q19"/>
      <c r="R19"/>
      <c r="S19"/>
      <c r="T19"/>
      <c r="U19"/>
    </row>
    <row r="20" spans="1:21" ht="17.25" customHeight="1" x14ac:dyDescent="0.35">
      <c r="A20" s="226"/>
      <c r="B20" s="237" t="s">
        <v>142</v>
      </c>
      <c r="C20" s="226"/>
      <c r="D20" s="226"/>
      <c r="E20" s="226"/>
      <c r="F20" s="238"/>
      <c r="G20" s="226"/>
      <c r="H20" s="226"/>
      <c r="I20" s="238"/>
      <c r="J20" s="226"/>
      <c r="K20" s="226"/>
      <c r="L20" s="226"/>
      <c r="M20" s="239"/>
      <c r="N20"/>
      <c r="O20"/>
      <c r="P20"/>
      <c r="Q20"/>
      <c r="R20"/>
      <c r="S20"/>
      <c r="T20"/>
      <c r="U20"/>
    </row>
    <row r="21" spans="1:21" ht="17.25" customHeight="1" x14ac:dyDescent="0.35">
      <c r="A21" s="226"/>
      <c r="B21" s="312">
        <v>0</v>
      </c>
      <c r="C21" s="232">
        <v>0</v>
      </c>
      <c r="D21" s="232">
        <v>0</v>
      </c>
      <c r="E21" s="232">
        <v>0</v>
      </c>
      <c r="F21" s="241">
        <v>0</v>
      </c>
      <c r="G21" s="232">
        <v>0</v>
      </c>
      <c r="H21" s="232">
        <v>0</v>
      </c>
      <c r="I21" s="241">
        <v>0</v>
      </c>
      <c r="J21" s="232">
        <v>0</v>
      </c>
      <c r="K21" s="232">
        <v>0</v>
      </c>
      <c r="L21" s="232">
        <v>0</v>
      </c>
      <c r="M21" s="242">
        <v>0</v>
      </c>
      <c r="N21"/>
      <c r="O21"/>
      <c r="P21"/>
      <c r="Q21"/>
      <c r="R21"/>
      <c r="S21"/>
      <c r="T21"/>
      <c r="U21"/>
    </row>
    <row r="22" spans="1:21" ht="17.25" customHeight="1" x14ac:dyDescent="0.35">
      <c r="A22" s="226"/>
      <c r="B22" s="237" t="s">
        <v>184</v>
      </c>
      <c r="C22" s="226"/>
      <c r="D22" s="226"/>
      <c r="E22" s="226"/>
      <c r="F22" s="238"/>
      <c r="G22" s="226"/>
      <c r="H22" s="226"/>
      <c r="I22" s="238"/>
      <c r="J22" s="226"/>
      <c r="K22" s="226"/>
      <c r="L22" s="226"/>
      <c r="M22" s="239"/>
      <c r="N22"/>
      <c r="O22"/>
      <c r="P22"/>
      <c r="Q22"/>
      <c r="R22"/>
      <c r="S22"/>
      <c r="T22"/>
      <c r="U22"/>
    </row>
    <row r="23" spans="1:21" ht="17.25" customHeight="1" x14ac:dyDescent="0.35">
      <c r="A23" s="226"/>
      <c r="B23" s="312">
        <v>0</v>
      </c>
      <c r="C23" s="232">
        <v>0</v>
      </c>
      <c r="D23" s="232">
        <v>0</v>
      </c>
      <c r="E23" s="232">
        <v>24000</v>
      </c>
      <c r="F23" s="241">
        <v>0</v>
      </c>
      <c r="G23" s="232">
        <v>24000</v>
      </c>
      <c r="H23" s="232">
        <v>0</v>
      </c>
      <c r="I23" s="241">
        <v>0</v>
      </c>
      <c r="J23" s="232">
        <v>0</v>
      </c>
      <c r="K23" s="232">
        <v>0</v>
      </c>
      <c r="L23" s="232">
        <v>0</v>
      </c>
      <c r="M23" s="242">
        <v>24000</v>
      </c>
      <c r="N23"/>
      <c r="O23"/>
      <c r="P23"/>
      <c r="Q23"/>
      <c r="R23"/>
      <c r="S23"/>
      <c r="T23"/>
      <c r="U23"/>
    </row>
    <row r="24" spans="1:21" ht="17.25" customHeight="1" x14ac:dyDescent="0.35">
      <c r="A24" s="243" t="s">
        <v>303</v>
      </c>
      <c r="B24" s="229"/>
      <c r="C24" s="228">
        <v>0</v>
      </c>
      <c r="D24" s="228">
        <v>0</v>
      </c>
      <c r="E24" s="228">
        <v>20000</v>
      </c>
      <c r="F24" s="233">
        <v>0</v>
      </c>
      <c r="G24" s="228">
        <v>20000</v>
      </c>
      <c r="H24" s="228">
        <v>0</v>
      </c>
      <c r="I24" s="233">
        <v>0</v>
      </c>
      <c r="J24" s="228">
        <v>0</v>
      </c>
      <c r="K24" s="228">
        <v>0</v>
      </c>
      <c r="L24" s="228">
        <v>0</v>
      </c>
      <c r="M24" s="236">
        <v>20000</v>
      </c>
      <c r="N24"/>
      <c r="O24"/>
      <c r="P24"/>
      <c r="Q24"/>
      <c r="R24"/>
      <c r="S24"/>
      <c r="T24"/>
      <c r="U24"/>
    </row>
    <row r="25" spans="1:21" ht="17.25" customHeight="1" x14ac:dyDescent="0.35">
      <c r="A25" s="243" t="s">
        <v>304</v>
      </c>
      <c r="B25" s="229"/>
      <c r="C25" s="223">
        <v>0</v>
      </c>
      <c r="D25" s="223">
        <v>0</v>
      </c>
      <c r="E25" s="223">
        <v>0</v>
      </c>
      <c r="F25" s="313">
        <v>0</v>
      </c>
      <c r="G25" s="223">
        <v>0</v>
      </c>
      <c r="H25" s="223">
        <v>0</v>
      </c>
      <c r="I25" s="313">
        <v>0</v>
      </c>
      <c r="J25" s="223">
        <v>0</v>
      </c>
      <c r="K25" s="223">
        <v>0</v>
      </c>
      <c r="L25" s="223">
        <v>0</v>
      </c>
      <c r="M25" s="314">
        <v>0</v>
      </c>
      <c r="N25"/>
      <c r="O25"/>
      <c r="P25"/>
      <c r="Q25"/>
      <c r="R25"/>
      <c r="S25"/>
      <c r="T25"/>
      <c r="U25"/>
    </row>
    <row r="26" spans="1:21" ht="17.25" customHeight="1" x14ac:dyDescent="0.35">
      <c r="A26" s="243" t="s">
        <v>305</v>
      </c>
      <c r="B26" s="229"/>
      <c r="C26" s="223">
        <v>0</v>
      </c>
      <c r="D26" s="223">
        <v>0</v>
      </c>
      <c r="E26" s="223">
        <v>4000</v>
      </c>
      <c r="F26" s="313">
        <v>0</v>
      </c>
      <c r="G26" s="223">
        <v>4000</v>
      </c>
      <c r="H26" s="223">
        <v>0</v>
      </c>
      <c r="I26" s="313">
        <v>0</v>
      </c>
      <c r="J26" s="223">
        <v>0</v>
      </c>
      <c r="K26" s="223">
        <v>0</v>
      </c>
      <c r="L26" s="223">
        <v>0</v>
      </c>
      <c r="M26" s="314">
        <v>4000</v>
      </c>
      <c r="N26"/>
      <c r="O26"/>
      <c r="P26"/>
      <c r="Q26"/>
      <c r="R26"/>
      <c r="S26"/>
      <c r="T26"/>
      <c r="U26"/>
    </row>
    <row r="27" spans="1:21" ht="17.25" customHeight="1" x14ac:dyDescent="0.35">
      <c r="A27" s="243" t="s">
        <v>306</v>
      </c>
      <c r="B27" s="229"/>
      <c r="C27" s="223">
        <v>0</v>
      </c>
      <c r="D27" s="223">
        <v>0</v>
      </c>
      <c r="E27" s="223">
        <v>0</v>
      </c>
      <c r="F27" s="313">
        <v>0</v>
      </c>
      <c r="G27" s="223">
        <v>0</v>
      </c>
      <c r="H27" s="223">
        <v>0</v>
      </c>
      <c r="I27" s="313">
        <v>0</v>
      </c>
      <c r="J27" s="223">
        <v>0</v>
      </c>
      <c r="K27" s="223">
        <v>0</v>
      </c>
      <c r="L27" s="223">
        <v>0</v>
      </c>
      <c r="M27" s="314">
        <v>0</v>
      </c>
      <c r="N27"/>
      <c r="O27"/>
      <c r="P27"/>
      <c r="Q27"/>
      <c r="R27"/>
      <c r="S27"/>
      <c r="T27"/>
      <c r="U27"/>
    </row>
    <row r="28" spans="1:21" ht="17.25" customHeight="1" x14ac:dyDescent="0.35">
      <c r="A28" s="243" t="s">
        <v>307</v>
      </c>
      <c r="B28" s="229"/>
      <c r="C28" s="223">
        <v>0</v>
      </c>
      <c r="D28" s="223">
        <v>0</v>
      </c>
      <c r="E28" s="223">
        <v>0</v>
      </c>
      <c r="F28" s="313">
        <v>0</v>
      </c>
      <c r="G28" s="223">
        <v>0</v>
      </c>
      <c r="H28" s="223">
        <v>0</v>
      </c>
      <c r="I28" s="313">
        <v>0</v>
      </c>
      <c r="J28" s="223">
        <v>0</v>
      </c>
      <c r="K28" s="223">
        <v>0</v>
      </c>
      <c r="L28" s="223">
        <v>0</v>
      </c>
      <c r="M28" s="314">
        <v>0</v>
      </c>
      <c r="N28"/>
      <c r="O28"/>
      <c r="P28"/>
      <c r="Q28"/>
      <c r="R28"/>
      <c r="S28"/>
      <c r="T28"/>
      <c r="U28"/>
    </row>
    <row r="29" spans="1:21" ht="17.25" customHeight="1" x14ac:dyDescent="0.35">
      <c r="A29" s="243" t="s">
        <v>308</v>
      </c>
      <c r="B29" s="229"/>
      <c r="C29" s="223">
        <v>0</v>
      </c>
      <c r="D29" s="223">
        <v>0</v>
      </c>
      <c r="E29" s="223">
        <v>0</v>
      </c>
      <c r="F29" s="313">
        <v>0</v>
      </c>
      <c r="G29" s="223">
        <v>0</v>
      </c>
      <c r="H29" s="223">
        <v>0</v>
      </c>
      <c r="I29" s="313">
        <v>0</v>
      </c>
      <c r="J29" s="223">
        <v>0</v>
      </c>
      <c r="K29" s="223">
        <v>0</v>
      </c>
      <c r="L29" s="223">
        <v>0</v>
      </c>
      <c r="M29" s="314">
        <v>0</v>
      </c>
      <c r="N29"/>
      <c r="O29"/>
      <c r="P29"/>
      <c r="Q29"/>
      <c r="R29"/>
      <c r="S29"/>
      <c r="T29"/>
      <c r="U29"/>
    </row>
    <row r="30" spans="1:21" ht="17.25" customHeight="1" x14ac:dyDescent="0.35">
      <c r="A30" s="243" t="s">
        <v>309</v>
      </c>
      <c r="B30" s="229"/>
      <c r="C30" s="228">
        <v>0</v>
      </c>
      <c r="D30" s="228">
        <v>0</v>
      </c>
      <c r="E30" s="228">
        <v>0</v>
      </c>
      <c r="F30" s="233">
        <v>0</v>
      </c>
      <c r="G30" s="228">
        <v>0</v>
      </c>
      <c r="H30" s="228">
        <v>0</v>
      </c>
      <c r="I30" s="233">
        <v>0</v>
      </c>
      <c r="J30" s="228">
        <v>0</v>
      </c>
      <c r="K30" s="228">
        <v>0</v>
      </c>
      <c r="L30" s="228">
        <v>0</v>
      </c>
      <c r="M30" s="236">
        <v>0</v>
      </c>
      <c r="N30"/>
      <c r="O30"/>
      <c r="P30"/>
      <c r="Q30"/>
      <c r="R30"/>
      <c r="S30"/>
      <c r="T30"/>
      <c r="U30"/>
    </row>
    <row r="31" spans="1:21" ht="17.25" customHeight="1" x14ac:dyDescent="0.35">
      <c r="A31" s="243" t="s">
        <v>310</v>
      </c>
      <c r="B31" s="229"/>
      <c r="C31" s="223">
        <v>0</v>
      </c>
      <c r="D31" s="223">
        <v>0</v>
      </c>
      <c r="E31" s="223">
        <v>0</v>
      </c>
      <c r="F31" s="313">
        <v>0</v>
      </c>
      <c r="G31" s="223">
        <v>0</v>
      </c>
      <c r="H31" s="223">
        <v>0</v>
      </c>
      <c r="I31" s="313">
        <v>0</v>
      </c>
      <c r="J31" s="223">
        <v>0</v>
      </c>
      <c r="K31" s="223">
        <v>0</v>
      </c>
      <c r="L31" s="223">
        <v>0</v>
      </c>
      <c r="M31" s="314">
        <v>0</v>
      </c>
      <c r="N31"/>
      <c r="O31"/>
      <c r="P31"/>
      <c r="Q31"/>
      <c r="R31"/>
      <c r="S31"/>
      <c r="T31"/>
      <c r="U31"/>
    </row>
    <row r="32" spans="1:21" ht="17.25" customHeight="1" x14ac:dyDescent="0.35">
      <c r="A32" s="243" t="s">
        <v>311</v>
      </c>
      <c r="B32" s="229"/>
      <c r="C32" s="223">
        <v>0</v>
      </c>
      <c r="D32" s="223">
        <v>0</v>
      </c>
      <c r="E32" s="223">
        <v>24000</v>
      </c>
      <c r="F32" s="313">
        <v>0</v>
      </c>
      <c r="G32" s="223">
        <v>24000</v>
      </c>
      <c r="H32" s="223">
        <v>0</v>
      </c>
      <c r="I32" s="313">
        <v>0</v>
      </c>
      <c r="J32" s="223">
        <v>0</v>
      </c>
      <c r="K32" s="223">
        <v>0</v>
      </c>
      <c r="L32" s="223">
        <v>0</v>
      </c>
      <c r="M32" s="314">
        <v>24000</v>
      </c>
      <c r="N32"/>
      <c r="O32"/>
      <c r="P32"/>
      <c r="Q32"/>
      <c r="R32"/>
      <c r="S32"/>
      <c r="T32"/>
      <c r="U32"/>
    </row>
    <row r="33" spans="1:21" ht="17.25" customHeight="1" x14ac:dyDescent="0.35">
      <c r="A33" s="234" t="s">
        <v>220</v>
      </c>
      <c r="B33" s="235" t="s">
        <v>254</v>
      </c>
      <c r="C33" s="228"/>
      <c r="D33" s="228"/>
      <c r="E33" s="228"/>
      <c r="F33" s="233"/>
      <c r="G33" s="228"/>
      <c r="H33" s="228"/>
      <c r="I33" s="233"/>
      <c r="J33" s="228"/>
      <c r="K33" s="228"/>
      <c r="L33" s="228"/>
      <c r="M33" s="236"/>
      <c r="N33"/>
      <c r="O33"/>
      <c r="P33"/>
      <c r="Q33"/>
      <c r="R33"/>
      <c r="S33"/>
      <c r="T33"/>
      <c r="U33"/>
    </row>
    <row r="34" spans="1:21" ht="17.25" customHeight="1" x14ac:dyDescent="0.35">
      <c r="A34" s="226"/>
      <c r="B34" s="311">
        <v>100000</v>
      </c>
      <c r="C34" s="232">
        <v>0</v>
      </c>
      <c r="D34" s="232">
        <v>0</v>
      </c>
      <c r="E34" s="232">
        <v>0</v>
      </c>
      <c r="F34" s="241">
        <v>12000</v>
      </c>
      <c r="G34" s="232">
        <v>12000</v>
      </c>
      <c r="H34" s="232">
        <v>0</v>
      </c>
      <c r="I34" s="241">
        <v>0</v>
      </c>
      <c r="J34" s="232">
        <v>0</v>
      </c>
      <c r="K34" s="232">
        <v>0</v>
      </c>
      <c r="L34" s="232">
        <v>0</v>
      </c>
      <c r="M34" s="242">
        <v>12000</v>
      </c>
      <c r="N34"/>
      <c r="O34"/>
      <c r="P34"/>
      <c r="Q34"/>
      <c r="R34"/>
      <c r="S34"/>
      <c r="T34"/>
      <c r="U34"/>
    </row>
    <row r="35" spans="1:21" ht="17.25" customHeight="1" x14ac:dyDescent="0.35">
      <c r="A35" s="226"/>
      <c r="B35" s="240" t="s">
        <v>256</v>
      </c>
      <c r="C35" s="232"/>
      <c r="D35" s="232"/>
      <c r="E35" s="232"/>
      <c r="F35" s="241"/>
      <c r="G35" s="232"/>
      <c r="H35" s="232"/>
      <c r="I35" s="241"/>
      <c r="J35" s="232"/>
      <c r="K35" s="232"/>
      <c r="L35" s="232"/>
      <c r="M35" s="242"/>
      <c r="N35"/>
      <c r="O35"/>
      <c r="P35"/>
      <c r="Q35"/>
      <c r="R35"/>
      <c r="S35"/>
      <c r="T35"/>
      <c r="U35"/>
    </row>
    <row r="36" spans="1:21" ht="17.25" customHeight="1" x14ac:dyDescent="0.35">
      <c r="A36" s="226"/>
      <c r="B36" s="311">
        <v>100000</v>
      </c>
      <c r="C36" s="232">
        <v>0</v>
      </c>
      <c r="D36" s="232">
        <v>0</v>
      </c>
      <c r="E36" s="232">
        <v>0</v>
      </c>
      <c r="F36" s="241">
        <v>0</v>
      </c>
      <c r="G36" s="232">
        <v>0</v>
      </c>
      <c r="H36" s="232">
        <v>0</v>
      </c>
      <c r="I36" s="241">
        <v>0</v>
      </c>
      <c r="J36" s="232">
        <v>0</v>
      </c>
      <c r="K36" s="232">
        <v>0</v>
      </c>
      <c r="L36" s="232">
        <v>0</v>
      </c>
      <c r="M36" s="242">
        <v>0</v>
      </c>
      <c r="N36"/>
      <c r="O36"/>
      <c r="P36"/>
      <c r="Q36"/>
      <c r="R36"/>
      <c r="S36"/>
      <c r="T36"/>
      <c r="U36"/>
    </row>
    <row r="37" spans="1:21" ht="17.25" customHeight="1" x14ac:dyDescent="0.35">
      <c r="A37" s="226"/>
      <c r="B37" s="240" t="s">
        <v>138</v>
      </c>
      <c r="C37" s="232"/>
      <c r="D37" s="232"/>
      <c r="E37" s="232"/>
      <c r="F37" s="241"/>
      <c r="G37" s="232"/>
      <c r="H37" s="232"/>
      <c r="I37" s="241"/>
      <c r="J37" s="232"/>
      <c r="K37" s="232"/>
      <c r="L37" s="232"/>
      <c r="M37" s="242"/>
      <c r="N37"/>
      <c r="O37"/>
      <c r="P37"/>
      <c r="Q37"/>
      <c r="R37"/>
      <c r="S37"/>
      <c r="T37"/>
      <c r="U37"/>
    </row>
    <row r="38" spans="1:21" ht="17.25" customHeight="1" x14ac:dyDescent="0.35">
      <c r="A38" s="226"/>
      <c r="B38" s="311">
        <v>100000</v>
      </c>
      <c r="C38" s="232">
        <v>0</v>
      </c>
      <c r="D38" s="232">
        <v>0</v>
      </c>
      <c r="E38" s="232">
        <v>0</v>
      </c>
      <c r="F38" s="241">
        <v>2400</v>
      </c>
      <c r="G38" s="232">
        <v>2400</v>
      </c>
      <c r="H38" s="232">
        <v>0</v>
      </c>
      <c r="I38" s="241">
        <v>0</v>
      </c>
      <c r="J38" s="232">
        <v>0</v>
      </c>
      <c r="K38" s="232">
        <v>0</v>
      </c>
      <c r="L38" s="232">
        <v>0</v>
      </c>
      <c r="M38" s="242">
        <v>2400</v>
      </c>
      <c r="N38"/>
      <c r="O38"/>
      <c r="P38"/>
      <c r="Q38"/>
      <c r="R38"/>
      <c r="S38"/>
      <c r="T38"/>
      <c r="U38"/>
    </row>
    <row r="39" spans="1:21" ht="17.25" customHeight="1" x14ac:dyDescent="0.35">
      <c r="A39" s="226"/>
      <c r="B39" s="240" t="s">
        <v>139</v>
      </c>
      <c r="C39" s="232"/>
      <c r="D39" s="232"/>
      <c r="E39" s="232"/>
      <c r="F39" s="241"/>
      <c r="G39" s="232"/>
      <c r="H39" s="232"/>
      <c r="I39" s="241"/>
      <c r="J39" s="232"/>
      <c r="K39" s="232"/>
      <c r="L39" s="232"/>
      <c r="M39" s="242"/>
      <c r="N39"/>
      <c r="O39"/>
      <c r="P39"/>
      <c r="Q39"/>
      <c r="R39"/>
      <c r="S39"/>
      <c r="T39"/>
      <c r="U39"/>
    </row>
    <row r="40" spans="1:21" x14ac:dyDescent="0.35">
      <c r="A40" s="226"/>
      <c r="B40" s="311">
        <v>100000</v>
      </c>
      <c r="C40" s="232">
        <v>0</v>
      </c>
      <c r="D40" s="232">
        <v>0</v>
      </c>
      <c r="E40" s="232">
        <v>0</v>
      </c>
      <c r="F40" s="241">
        <v>10000</v>
      </c>
      <c r="G40" s="232">
        <v>10000</v>
      </c>
      <c r="H40" s="232">
        <v>0</v>
      </c>
      <c r="I40" s="241">
        <v>0</v>
      </c>
      <c r="J40" s="232">
        <v>0</v>
      </c>
      <c r="K40" s="232">
        <v>0</v>
      </c>
      <c r="L40" s="232">
        <v>0</v>
      </c>
      <c r="M40" s="242">
        <v>10000</v>
      </c>
      <c r="N40"/>
      <c r="O40"/>
      <c r="P40"/>
      <c r="Q40"/>
      <c r="R40"/>
      <c r="S40"/>
      <c r="T40"/>
      <c r="U40"/>
    </row>
    <row r="41" spans="1:21" x14ac:dyDescent="0.35">
      <c r="A41" s="226"/>
      <c r="B41" s="240" t="s">
        <v>141</v>
      </c>
      <c r="C41" s="232"/>
      <c r="D41" s="232"/>
      <c r="E41" s="232"/>
      <c r="F41" s="241"/>
      <c r="G41" s="232"/>
      <c r="H41" s="232"/>
      <c r="I41" s="241"/>
      <c r="J41" s="232"/>
      <c r="K41" s="232"/>
      <c r="L41" s="232"/>
      <c r="M41" s="242"/>
      <c r="N41"/>
      <c r="O41"/>
      <c r="P41"/>
      <c r="Q41"/>
      <c r="R41"/>
      <c r="S41"/>
      <c r="T41"/>
      <c r="U41"/>
    </row>
    <row r="42" spans="1:21" x14ac:dyDescent="0.35">
      <c r="A42" s="226"/>
      <c r="B42" s="311">
        <v>100000</v>
      </c>
      <c r="C42" s="232">
        <v>0</v>
      </c>
      <c r="D42" s="232">
        <v>0</v>
      </c>
      <c r="E42" s="232">
        <v>0</v>
      </c>
      <c r="F42" s="241">
        <v>0</v>
      </c>
      <c r="G42" s="232">
        <v>0</v>
      </c>
      <c r="H42" s="232">
        <v>0</v>
      </c>
      <c r="I42" s="241">
        <v>0</v>
      </c>
      <c r="J42" s="232">
        <v>0</v>
      </c>
      <c r="K42" s="232">
        <v>0</v>
      </c>
      <c r="L42" s="232">
        <v>0</v>
      </c>
      <c r="M42" s="242">
        <v>0</v>
      </c>
      <c r="N42"/>
      <c r="O42"/>
      <c r="P42"/>
      <c r="Q42"/>
      <c r="R42"/>
      <c r="S42"/>
      <c r="T42"/>
      <c r="U42"/>
    </row>
    <row r="43" spans="1:21" x14ac:dyDescent="0.35">
      <c r="A43" s="226"/>
      <c r="B43" s="240" t="s">
        <v>140</v>
      </c>
      <c r="C43" s="232"/>
      <c r="D43" s="232"/>
      <c r="E43" s="232"/>
      <c r="F43" s="241"/>
      <c r="G43" s="232"/>
      <c r="H43" s="232"/>
      <c r="I43" s="241"/>
      <c r="J43" s="232"/>
      <c r="K43" s="232"/>
      <c r="L43" s="232"/>
      <c r="M43" s="242"/>
    </row>
    <row r="44" spans="1:21" x14ac:dyDescent="0.35">
      <c r="A44" s="226"/>
      <c r="B44" s="311">
        <v>100000</v>
      </c>
      <c r="C44" s="232">
        <v>0</v>
      </c>
      <c r="D44" s="232">
        <v>0</v>
      </c>
      <c r="E44" s="232">
        <v>0</v>
      </c>
      <c r="F44" s="241">
        <v>0</v>
      </c>
      <c r="G44" s="232">
        <v>0</v>
      </c>
      <c r="H44" s="232">
        <v>0</v>
      </c>
      <c r="I44" s="241">
        <v>0</v>
      </c>
      <c r="J44" s="232">
        <v>0</v>
      </c>
      <c r="K44" s="232">
        <v>0</v>
      </c>
      <c r="L44" s="232">
        <v>0</v>
      </c>
      <c r="M44" s="242">
        <v>0</v>
      </c>
    </row>
    <row r="45" spans="1:21" x14ac:dyDescent="0.35">
      <c r="A45" s="226"/>
      <c r="B45" s="240" t="s">
        <v>289</v>
      </c>
      <c r="C45" s="232"/>
      <c r="D45" s="232"/>
      <c r="E45" s="232"/>
      <c r="F45" s="241"/>
      <c r="G45" s="232"/>
      <c r="H45" s="232"/>
      <c r="I45" s="241"/>
      <c r="J45" s="232"/>
      <c r="K45" s="232"/>
      <c r="L45" s="232"/>
      <c r="M45" s="242"/>
    </row>
    <row r="46" spans="1:21" x14ac:dyDescent="0.35">
      <c r="A46" s="226"/>
      <c r="B46" s="311">
        <v>100000</v>
      </c>
      <c r="C46" s="232">
        <v>0</v>
      </c>
      <c r="D46" s="232">
        <v>0</v>
      </c>
      <c r="E46" s="232">
        <v>0</v>
      </c>
      <c r="F46" s="241">
        <v>0</v>
      </c>
      <c r="G46" s="232">
        <v>0</v>
      </c>
      <c r="H46" s="232">
        <v>0</v>
      </c>
      <c r="I46" s="241">
        <v>0</v>
      </c>
      <c r="J46" s="232">
        <v>0</v>
      </c>
      <c r="K46" s="232">
        <v>0</v>
      </c>
      <c r="L46" s="232">
        <v>0</v>
      </c>
      <c r="M46" s="242">
        <v>0</v>
      </c>
    </row>
    <row r="47" spans="1:21" x14ac:dyDescent="0.35">
      <c r="A47" s="226"/>
      <c r="B47" s="240" t="s">
        <v>142</v>
      </c>
      <c r="C47" s="232"/>
      <c r="D47" s="232"/>
      <c r="E47" s="232"/>
      <c r="F47" s="241"/>
      <c r="G47" s="232"/>
      <c r="H47" s="232"/>
      <c r="I47" s="241"/>
      <c r="J47" s="232"/>
      <c r="K47" s="232"/>
      <c r="L47" s="232"/>
      <c r="M47" s="242"/>
    </row>
    <row r="48" spans="1:21" x14ac:dyDescent="0.35">
      <c r="A48" s="226"/>
      <c r="B48" s="311">
        <v>100000</v>
      </c>
      <c r="C48" s="232">
        <v>0</v>
      </c>
      <c r="D48" s="232">
        <v>0</v>
      </c>
      <c r="E48" s="232">
        <v>0</v>
      </c>
      <c r="F48" s="241">
        <v>0</v>
      </c>
      <c r="G48" s="232">
        <v>0</v>
      </c>
      <c r="H48" s="232">
        <v>0</v>
      </c>
      <c r="I48" s="241">
        <v>0</v>
      </c>
      <c r="J48" s="232">
        <v>0</v>
      </c>
      <c r="K48" s="232">
        <v>0</v>
      </c>
      <c r="L48" s="232">
        <v>0</v>
      </c>
      <c r="M48" s="242">
        <v>0</v>
      </c>
    </row>
    <row r="49" spans="1:13" x14ac:dyDescent="0.35">
      <c r="A49" s="226"/>
      <c r="B49" s="240" t="s">
        <v>184</v>
      </c>
      <c r="C49" s="232"/>
      <c r="D49" s="232"/>
      <c r="E49" s="232"/>
      <c r="F49" s="241"/>
      <c r="G49" s="232"/>
      <c r="H49" s="232"/>
      <c r="I49" s="241"/>
      <c r="J49" s="232"/>
      <c r="K49" s="232"/>
      <c r="L49" s="232"/>
      <c r="M49" s="242"/>
    </row>
    <row r="50" spans="1:13" x14ac:dyDescent="0.35">
      <c r="A50" s="226"/>
      <c r="B50" s="311">
        <v>100000</v>
      </c>
      <c r="C50" s="232">
        <v>0</v>
      </c>
      <c r="D50" s="232">
        <v>0</v>
      </c>
      <c r="E50" s="232">
        <v>0</v>
      </c>
      <c r="F50" s="241">
        <v>224400</v>
      </c>
      <c r="G50" s="232">
        <v>224400</v>
      </c>
      <c r="H50" s="232">
        <v>0</v>
      </c>
      <c r="I50" s="241">
        <v>0</v>
      </c>
      <c r="J50" s="232">
        <v>0</v>
      </c>
      <c r="K50" s="232">
        <v>0</v>
      </c>
      <c r="L50" s="232">
        <v>0</v>
      </c>
      <c r="M50" s="242">
        <v>224400</v>
      </c>
    </row>
    <row r="51" spans="1:13" x14ac:dyDescent="0.35">
      <c r="A51" s="243" t="s">
        <v>312</v>
      </c>
      <c r="B51" s="229"/>
      <c r="C51" s="228">
        <v>0</v>
      </c>
      <c r="D51" s="228">
        <v>0</v>
      </c>
      <c r="E51" s="228">
        <v>0</v>
      </c>
      <c r="F51" s="233">
        <v>12000</v>
      </c>
      <c r="G51" s="228">
        <v>12000</v>
      </c>
      <c r="H51" s="228">
        <v>0</v>
      </c>
      <c r="I51" s="233">
        <v>0</v>
      </c>
      <c r="J51" s="228">
        <v>0</v>
      </c>
      <c r="K51" s="228">
        <v>0</v>
      </c>
      <c r="L51" s="228">
        <v>0</v>
      </c>
      <c r="M51" s="236">
        <v>12000</v>
      </c>
    </row>
    <row r="52" spans="1:13" x14ac:dyDescent="0.35">
      <c r="A52" s="243" t="s">
        <v>313</v>
      </c>
      <c r="B52" s="229"/>
      <c r="C52" s="228">
        <v>0</v>
      </c>
      <c r="D52" s="228">
        <v>0</v>
      </c>
      <c r="E52" s="228">
        <v>0</v>
      </c>
      <c r="F52" s="233">
        <v>0</v>
      </c>
      <c r="G52" s="228">
        <v>0</v>
      </c>
      <c r="H52" s="228">
        <v>0</v>
      </c>
      <c r="I52" s="233">
        <v>0</v>
      </c>
      <c r="J52" s="228">
        <v>0</v>
      </c>
      <c r="K52" s="228">
        <v>0</v>
      </c>
      <c r="L52" s="228">
        <v>0</v>
      </c>
      <c r="M52" s="236">
        <v>0</v>
      </c>
    </row>
    <row r="53" spans="1:13" x14ac:dyDescent="0.35">
      <c r="A53" s="243" t="s">
        <v>314</v>
      </c>
      <c r="B53" s="229"/>
      <c r="C53" s="228">
        <v>0</v>
      </c>
      <c r="D53" s="228">
        <v>0</v>
      </c>
      <c r="E53" s="228">
        <v>0</v>
      </c>
      <c r="F53" s="233">
        <v>2400</v>
      </c>
      <c r="G53" s="228">
        <v>2400</v>
      </c>
      <c r="H53" s="228">
        <v>0</v>
      </c>
      <c r="I53" s="233">
        <v>0</v>
      </c>
      <c r="J53" s="228">
        <v>0</v>
      </c>
      <c r="K53" s="228">
        <v>0</v>
      </c>
      <c r="L53" s="228">
        <v>0</v>
      </c>
      <c r="M53" s="236">
        <v>2400</v>
      </c>
    </row>
    <row r="54" spans="1:13" x14ac:dyDescent="0.35">
      <c r="A54" s="243" t="s">
        <v>315</v>
      </c>
      <c r="B54" s="229"/>
      <c r="C54" s="228">
        <v>0</v>
      </c>
      <c r="D54" s="228">
        <v>0</v>
      </c>
      <c r="E54" s="228">
        <v>0</v>
      </c>
      <c r="F54" s="233">
        <v>10000</v>
      </c>
      <c r="G54" s="228">
        <v>10000</v>
      </c>
      <c r="H54" s="228">
        <v>0</v>
      </c>
      <c r="I54" s="233">
        <v>0</v>
      </c>
      <c r="J54" s="228">
        <v>0</v>
      </c>
      <c r="K54" s="228">
        <v>0</v>
      </c>
      <c r="L54" s="228">
        <v>0</v>
      </c>
      <c r="M54" s="236">
        <v>10000</v>
      </c>
    </row>
    <row r="55" spans="1:13" x14ac:dyDescent="0.35">
      <c r="A55" s="243" t="s">
        <v>316</v>
      </c>
      <c r="B55" s="229"/>
      <c r="C55" s="228">
        <v>0</v>
      </c>
      <c r="D55" s="228">
        <v>0</v>
      </c>
      <c r="E55" s="228">
        <v>0</v>
      </c>
      <c r="F55" s="233">
        <v>0</v>
      </c>
      <c r="G55" s="228">
        <v>0</v>
      </c>
      <c r="H55" s="228">
        <v>0</v>
      </c>
      <c r="I55" s="233">
        <v>0</v>
      </c>
      <c r="J55" s="228">
        <v>0</v>
      </c>
      <c r="K55" s="228">
        <v>0</v>
      </c>
      <c r="L55" s="228">
        <v>0</v>
      </c>
      <c r="M55" s="236">
        <v>0</v>
      </c>
    </row>
    <row r="56" spans="1:13" x14ac:dyDescent="0.35">
      <c r="A56" s="243" t="s">
        <v>317</v>
      </c>
      <c r="B56" s="229"/>
      <c r="C56" s="228">
        <v>0</v>
      </c>
      <c r="D56" s="228">
        <v>0</v>
      </c>
      <c r="E56" s="228">
        <v>0</v>
      </c>
      <c r="F56" s="233">
        <v>0</v>
      </c>
      <c r="G56" s="228">
        <v>0</v>
      </c>
      <c r="H56" s="228">
        <v>0</v>
      </c>
      <c r="I56" s="233">
        <v>0</v>
      </c>
      <c r="J56" s="228">
        <v>0</v>
      </c>
      <c r="K56" s="228">
        <v>0</v>
      </c>
      <c r="L56" s="228">
        <v>0</v>
      </c>
      <c r="M56" s="236">
        <v>0</v>
      </c>
    </row>
    <row r="57" spans="1:13" x14ac:dyDescent="0.35">
      <c r="A57" s="243" t="s">
        <v>318</v>
      </c>
      <c r="B57" s="229"/>
      <c r="C57" s="228">
        <v>0</v>
      </c>
      <c r="D57" s="228">
        <v>0</v>
      </c>
      <c r="E57" s="228">
        <v>0</v>
      </c>
      <c r="F57" s="233">
        <v>0</v>
      </c>
      <c r="G57" s="228">
        <v>0</v>
      </c>
      <c r="H57" s="228">
        <v>0</v>
      </c>
      <c r="I57" s="233">
        <v>0</v>
      </c>
      <c r="J57" s="228">
        <v>0</v>
      </c>
      <c r="K57" s="228">
        <v>0</v>
      </c>
      <c r="L57" s="228">
        <v>0</v>
      </c>
      <c r="M57" s="236">
        <v>0</v>
      </c>
    </row>
    <row r="58" spans="1:13" x14ac:dyDescent="0.35">
      <c r="A58" s="243" t="s">
        <v>319</v>
      </c>
      <c r="B58" s="229"/>
      <c r="C58" s="228">
        <v>0</v>
      </c>
      <c r="D58" s="228">
        <v>0</v>
      </c>
      <c r="E58" s="228">
        <v>0</v>
      </c>
      <c r="F58" s="233">
        <v>0</v>
      </c>
      <c r="G58" s="228">
        <v>0</v>
      </c>
      <c r="H58" s="228">
        <v>0</v>
      </c>
      <c r="I58" s="233">
        <v>0</v>
      </c>
      <c r="J58" s="228">
        <v>0</v>
      </c>
      <c r="K58" s="228">
        <v>0</v>
      </c>
      <c r="L58" s="228">
        <v>0</v>
      </c>
      <c r="M58" s="236">
        <v>0</v>
      </c>
    </row>
    <row r="59" spans="1:13" x14ac:dyDescent="0.35">
      <c r="A59" s="243" t="s">
        <v>320</v>
      </c>
      <c r="B59" s="229"/>
      <c r="C59" s="228">
        <v>0</v>
      </c>
      <c r="D59" s="228">
        <v>0</v>
      </c>
      <c r="E59" s="228">
        <v>0</v>
      </c>
      <c r="F59" s="233">
        <v>224400</v>
      </c>
      <c r="G59" s="228">
        <v>224400</v>
      </c>
      <c r="H59" s="228">
        <v>0</v>
      </c>
      <c r="I59" s="233">
        <v>0</v>
      </c>
      <c r="J59" s="228">
        <v>0</v>
      </c>
      <c r="K59" s="228">
        <v>0</v>
      </c>
      <c r="L59" s="228">
        <v>0</v>
      </c>
      <c r="M59" s="236">
        <v>224400</v>
      </c>
    </row>
    <row r="60" spans="1:13" x14ac:dyDescent="0.35">
      <c r="A60" s="234" t="s">
        <v>222</v>
      </c>
      <c r="B60" s="235" t="s">
        <v>254</v>
      </c>
      <c r="C60" s="228"/>
      <c r="D60" s="228"/>
      <c r="E60" s="228"/>
      <c r="F60" s="233"/>
      <c r="G60" s="228"/>
      <c r="H60" s="228"/>
      <c r="I60" s="233"/>
      <c r="J60" s="228"/>
      <c r="K60" s="228"/>
      <c r="L60" s="228"/>
      <c r="M60" s="236"/>
    </row>
    <row r="61" spans="1:13" x14ac:dyDescent="0.35">
      <c r="A61" s="226"/>
      <c r="B61" s="311">
        <v>0</v>
      </c>
      <c r="C61" s="232">
        <v>0</v>
      </c>
      <c r="D61" s="232">
        <v>0</v>
      </c>
      <c r="E61" s="232">
        <v>0</v>
      </c>
      <c r="F61" s="241">
        <v>0</v>
      </c>
      <c r="G61" s="232">
        <v>0</v>
      </c>
      <c r="H61" s="232">
        <v>0</v>
      </c>
      <c r="I61" s="241">
        <v>0</v>
      </c>
      <c r="J61" s="232">
        <v>0</v>
      </c>
      <c r="K61" s="232">
        <v>0</v>
      </c>
      <c r="L61" s="232">
        <v>0</v>
      </c>
      <c r="M61" s="242">
        <v>0</v>
      </c>
    </row>
    <row r="62" spans="1:13" x14ac:dyDescent="0.35">
      <c r="A62" s="226"/>
      <c r="B62" s="240" t="s">
        <v>256</v>
      </c>
      <c r="C62" s="232"/>
      <c r="D62" s="232"/>
      <c r="E62" s="232"/>
      <c r="F62" s="241"/>
      <c r="G62" s="232"/>
      <c r="H62" s="232"/>
      <c r="I62" s="241"/>
      <c r="J62" s="232"/>
      <c r="K62" s="232"/>
      <c r="L62" s="232"/>
      <c r="M62" s="242"/>
    </row>
    <row r="63" spans="1:13" x14ac:dyDescent="0.35">
      <c r="A63" s="226"/>
      <c r="B63" s="311">
        <v>0</v>
      </c>
      <c r="C63" s="232">
        <v>0</v>
      </c>
      <c r="D63" s="232">
        <v>0</v>
      </c>
      <c r="E63" s="232">
        <v>0</v>
      </c>
      <c r="F63" s="241">
        <v>0</v>
      </c>
      <c r="G63" s="232">
        <v>0</v>
      </c>
      <c r="H63" s="232">
        <v>0</v>
      </c>
      <c r="I63" s="241">
        <v>0</v>
      </c>
      <c r="J63" s="232">
        <v>0</v>
      </c>
      <c r="K63" s="232">
        <v>0</v>
      </c>
      <c r="L63" s="232">
        <v>0</v>
      </c>
      <c r="M63" s="242">
        <v>0</v>
      </c>
    </row>
    <row r="64" spans="1:13" x14ac:dyDescent="0.35">
      <c r="A64" s="226"/>
      <c r="B64" s="240" t="s">
        <v>138</v>
      </c>
      <c r="C64" s="232"/>
      <c r="D64" s="232"/>
      <c r="E64" s="232"/>
      <c r="F64" s="241"/>
      <c r="G64" s="232"/>
      <c r="H64" s="232"/>
      <c r="I64" s="241"/>
      <c r="J64" s="232"/>
      <c r="K64" s="232"/>
      <c r="L64" s="232"/>
      <c r="M64" s="242"/>
    </row>
    <row r="65" spans="1:13" x14ac:dyDescent="0.35">
      <c r="A65" s="226"/>
      <c r="B65" s="311">
        <v>0</v>
      </c>
      <c r="C65" s="232">
        <v>0</v>
      </c>
      <c r="D65" s="232">
        <v>0</v>
      </c>
      <c r="E65" s="232">
        <v>0</v>
      </c>
      <c r="F65" s="241">
        <v>0</v>
      </c>
      <c r="G65" s="232">
        <v>0</v>
      </c>
      <c r="H65" s="232">
        <v>0</v>
      </c>
      <c r="I65" s="241">
        <v>0</v>
      </c>
      <c r="J65" s="232">
        <v>0</v>
      </c>
      <c r="K65" s="232">
        <v>0</v>
      </c>
      <c r="L65" s="232">
        <v>0</v>
      </c>
      <c r="M65" s="242">
        <v>0</v>
      </c>
    </row>
    <row r="66" spans="1:13" x14ac:dyDescent="0.35">
      <c r="A66" s="226"/>
      <c r="B66" s="240" t="s">
        <v>139</v>
      </c>
      <c r="C66" s="232"/>
      <c r="D66" s="232"/>
      <c r="E66" s="232"/>
      <c r="F66" s="241"/>
      <c r="G66" s="232"/>
      <c r="H66" s="232"/>
      <c r="I66" s="241"/>
      <c r="J66" s="232"/>
      <c r="K66" s="232"/>
      <c r="L66" s="232"/>
      <c r="M66" s="242"/>
    </row>
    <row r="67" spans="1:13" x14ac:dyDescent="0.35">
      <c r="A67" s="226"/>
      <c r="B67" s="311">
        <v>0</v>
      </c>
      <c r="C67" s="232">
        <v>0</v>
      </c>
      <c r="D67" s="232">
        <v>0</v>
      </c>
      <c r="E67" s="232">
        <v>0</v>
      </c>
      <c r="F67" s="241">
        <v>0</v>
      </c>
      <c r="G67" s="232">
        <v>0</v>
      </c>
      <c r="H67" s="232">
        <v>0</v>
      </c>
      <c r="I67" s="241">
        <v>0</v>
      </c>
      <c r="J67" s="232">
        <v>0</v>
      </c>
      <c r="K67" s="232">
        <v>0</v>
      </c>
      <c r="L67" s="232">
        <v>0</v>
      </c>
      <c r="M67" s="242">
        <v>0</v>
      </c>
    </row>
    <row r="68" spans="1:13" x14ac:dyDescent="0.35">
      <c r="A68" s="226"/>
      <c r="B68" s="240" t="s">
        <v>141</v>
      </c>
      <c r="C68" s="232"/>
      <c r="D68" s="232"/>
      <c r="E68" s="232"/>
      <c r="F68" s="241"/>
      <c r="G68" s="232"/>
      <c r="H68" s="232"/>
      <c r="I68" s="241"/>
      <c r="J68" s="232"/>
      <c r="K68" s="232"/>
      <c r="L68" s="232"/>
      <c r="M68" s="242"/>
    </row>
    <row r="69" spans="1:13" x14ac:dyDescent="0.35">
      <c r="A69" s="226"/>
      <c r="B69" s="311">
        <v>0</v>
      </c>
      <c r="C69" s="232">
        <v>0</v>
      </c>
      <c r="D69" s="232">
        <v>0</v>
      </c>
      <c r="E69" s="232">
        <v>0</v>
      </c>
      <c r="F69" s="241">
        <v>0</v>
      </c>
      <c r="G69" s="232">
        <v>0</v>
      </c>
      <c r="H69" s="232">
        <v>0</v>
      </c>
      <c r="I69" s="241">
        <v>0</v>
      </c>
      <c r="J69" s="232">
        <v>0</v>
      </c>
      <c r="K69" s="232">
        <v>0</v>
      </c>
      <c r="L69" s="232">
        <v>0</v>
      </c>
      <c r="M69" s="242">
        <v>0</v>
      </c>
    </row>
    <row r="70" spans="1:13" x14ac:dyDescent="0.35">
      <c r="A70" s="226"/>
      <c r="B70" s="240" t="s">
        <v>140</v>
      </c>
      <c r="C70" s="232"/>
      <c r="D70" s="232"/>
      <c r="E70" s="232"/>
      <c r="F70" s="241"/>
      <c r="G70" s="232"/>
      <c r="H70" s="232"/>
      <c r="I70" s="241"/>
      <c r="J70" s="232"/>
      <c r="K70" s="232"/>
      <c r="L70" s="232"/>
      <c r="M70" s="242"/>
    </row>
    <row r="71" spans="1:13" x14ac:dyDescent="0.35">
      <c r="A71" s="226"/>
      <c r="B71" s="311">
        <v>0</v>
      </c>
      <c r="C71" s="232">
        <v>0</v>
      </c>
      <c r="D71" s="232">
        <v>0</v>
      </c>
      <c r="E71" s="232">
        <v>0</v>
      </c>
      <c r="F71" s="241">
        <v>0</v>
      </c>
      <c r="G71" s="232">
        <v>0</v>
      </c>
      <c r="H71" s="232">
        <v>0</v>
      </c>
      <c r="I71" s="241">
        <v>0</v>
      </c>
      <c r="J71" s="232">
        <v>0</v>
      </c>
      <c r="K71" s="232">
        <v>0</v>
      </c>
      <c r="L71" s="232">
        <v>0</v>
      </c>
      <c r="M71" s="242">
        <v>0</v>
      </c>
    </row>
    <row r="72" spans="1:13" x14ac:dyDescent="0.35">
      <c r="A72" s="226"/>
      <c r="B72" s="240" t="s">
        <v>289</v>
      </c>
      <c r="C72" s="232"/>
      <c r="D72" s="232"/>
      <c r="E72" s="232"/>
      <c r="F72" s="241"/>
      <c r="G72" s="232"/>
      <c r="H72" s="232"/>
      <c r="I72" s="241"/>
      <c r="J72" s="232"/>
      <c r="K72" s="232"/>
      <c r="L72" s="232"/>
      <c r="M72" s="242"/>
    </row>
    <row r="73" spans="1:13" x14ac:dyDescent="0.35">
      <c r="A73" s="226"/>
      <c r="B73" s="311">
        <v>0</v>
      </c>
      <c r="C73" s="232">
        <v>0</v>
      </c>
      <c r="D73" s="232">
        <v>0</v>
      </c>
      <c r="E73" s="232">
        <v>0</v>
      </c>
      <c r="F73" s="241">
        <v>0</v>
      </c>
      <c r="G73" s="232">
        <v>0</v>
      </c>
      <c r="H73" s="232">
        <v>0</v>
      </c>
      <c r="I73" s="241">
        <v>0</v>
      </c>
      <c r="J73" s="232">
        <v>0</v>
      </c>
      <c r="K73" s="232">
        <v>100000</v>
      </c>
      <c r="L73" s="232">
        <v>100000</v>
      </c>
      <c r="M73" s="242">
        <v>100000</v>
      </c>
    </row>
    <row r="74" spans="1:13" x14ac:dyDescent="0.35">
      <c r="A74" s="226"/>
      <c r="B74" s="240" t="s">
        <v>142</v>
      </c>
      <c r="C74" s="232"/>
      <c r="D74" s="232"/>
      <c r="E74" s="232"/>
      <c r="F74" s="241"/>
      <c r="G74" s="232"/>
      <c r="H74" s="232"/>
      <c r="I74" s="241"/>
      <c r="J74" s="232"/>
      <c r="K74" s="232"/>
      <c r="L74" s="232"/>
      <c r="M74" s="242"/>
    </row>
    <row r="75" spans="1:13" x14ac:dyDescent="0.35">
      <c r="A75" s="226"/>
      <c r="B75" s="311">
        <v>0</v>
      </c>
      <c r="C75" s="232">
        <v>0</v>
      </c>
      <c r="D75" s="232">
        <v>0</v>
      </c>
      <c r="E75" s="232">
        <v>0</v>
      </c>
      <c r="F75" s="241">
        <v>0</v>
      </c>
      <c r="G75" s="232">
        <v>0</v>
      </c>
      <c r="H75" s="232">
        <v>0</v>
      </c>
      <c r="I75" s="241">
        <v>0</v>
      </c>
      <c r="J75" s="232">
        <v>0</v>
      </c>
      <c r="K75" s="232">
        <v>0</v>
      </c>
      <c r="L75" s="232">
        <v>0</v>
      </c>
      <c r="M75" s="242">
        <v>0</v>
      </c>
    </row>
    <row r="76" spans="1:13" x14ac:dyDescent="0.35">
      <c r="A76" s="226"/>
      <c r="B76" s="240" t="s">
        <v>184</v>
      </c>
      <c r="C76" s="232"/>
      <c r="D76" s="232"/>
      <c r="E76" s="232"/>
      <c r="F76" s="241"/>
      <c r="G76" s="232"/>
      <c r="H76" s="232"/>
      <c r="I76" s="241"/>
      <c r="J76" s="232"/>
      <c r="K76" s="232"/>
      <c r="L76" s="232"/>
      <c r="M76" s="242"/>
    </row>
    <row r="77" spans="1:13" x14ac:dyDescent="0.35">
      <c r="A77" s="226"/>
      <c r="B77" s="311">
        <v>0</v>
      </c>
      <c r="C77" s="232">
        <v>0</v>
      </c>
      <c r="D77" s="232">
        <v>0</v>
      </c>
      <c r="E77" s="232">
        <v>0</v>
      </c>
      <c r="F77" s="241">
        <v>0</v>
      </c>
      <c r="G77" s="232">
        <v>0</v>
      </c>
      <c r="H77" s="232">
        <v>0</v>
      </c>
      <c r="I77" s="241">
        <v>0</v>
      </c>
      <c r="J77" s="232">
        <v>0</v>
      </c>
      <c r="K77" s="232">
        <v>100000</v>
      </c>
      <c r="L77" s="232">
        <v>100000</v>
      </c>
      <c r="M77" s="242">
        <v>100000</v>
      </c>
    </row>
    <row r="78" spans="1:13" x14ac:dyDescent="0.35">
      <c r="A78" s="243" t="s">
        <v>321</v>
      </c>
      <c r="B78" s="229"/>
      <c r="C78" s="228">
        <v>0</v>
      </c>
      <c r="D78" s="228">
        <v>0</v>
      </c>
      <c r="E78" s="228">
        <v>0</v>
      </c>
      <c r="F78" s="233">
        <v>0</v>
      </c>
      <c r="G78" s="228">
        <v>0</v>
      </c>
      <c r="H78" s="228">
        <v>0</v>
      </c>
      <c r="I78" s="233">
        <v>0</v>
      </c>
      <c r="J78" s="228">
        <v>0</v>
      </c>
      <c r="K78" s="228">
        <v>0</v>
      </c>
      <c r="L78" s="228">
        <v>0</v>
      </c>
      <c r="M78" s="236">
        <v>0</v>
      </c>
    </row>
    <row r="79" spans="1:13" x14ac:dyDescent="0.35">
      <c r="A79" s="243" t="s">
        <v>322</v>
      </c>
      <c r="B79" s="229"/>
      <c r="C79" s="228">
        <v>0</v>
      </c>
      <c r="D79" s="228">
        <v>0</v>
      </c>
      <c r="E79" s="228">
        <v>0</v>
      </c>
      <c r="F79" s="233">
        <v>0</v>
      </c>
      <c r="G79" s="228">
        <v>0</v>
      </c>
      <c r="H79" s="228">
        <v>0</v>
      </c>
      <c r="I79" s="233">
        <v>0</v>
      </c>
      <c r="J79" s="228">
        <v>0</v>
      </c>
      <c r="K79" s="228">
        <v>0</v>
      </c>
      <c r="L79" s="228">
        <v>0</v>
      </c>
      <c r="M79" s="236">
        <v>0</v>
      </c>
    </row>
    <row r="80" spans="1:13" x14ac:dyDescent="0.35">
      <c r="A80" s="243" t="s">
        <v>323</v>
      </c>
      <c r="B80" s="229"/>
      <c r="C80" s="228">
        <v>0</v>
      </c>
      <c r="D80" s="228">
        <v>0</v>
      </c>
      <c r="E80" s="228">
        <v>0</v>
      </c>
      <c r="F80" s="233">
        <v>0</v>
      </c>
      <c r="G80" s="228">
        <v>0</v>
      </c>
      <c r="H80" s="228">
        <v>0</v>
      </c>
      <c r="I80" s="233">
        <v>0</v>
      </c>
      <c r="J80" s="228">
        <v>0</v>
      </c>
      <c r="K80" s="228">
        <v>0</v>
      </c>
      <c r="L80" s="228">
        <v>0</v>
      </c>
      <c r="M80" s="236">
        <v>0</v>
      </c>
    </row>
    <row r="81" spans="1:13" x14ac:dyDescent="0.35">
      <c r="A81" s="243" t="s">
        <v>324</v>
      </c>
      <c r="B81" s="229"/>
      <c r="C81" s="228">
        <v>0</v>
      </c>
      <c r="D81" s="228">
        <v>0</v>
      </c>
      <c r="E81" s="228">
        <v>0</v>
      </c>
      <c r="F81" s="233">
        <v>0</v>
      </c>
      <c r="G81" s="228">
        <v>0</v>
      </c>
      <c r="H81" s="228">
        <v>0</v>
      </c>
      <c r="I81" s="233">
        <v>0</v>
      </c>
      <c r="J81" s="228">
        <v>0</v>
      </c>
      <c r="K81" s="228">
        <v>0</v>
      </c>
      <c r="L81" s="228">
        <v>0</v>
      </c>
      <c r="M81" s="236">
        <v>0</v>
      </c>
    </row>
    <row r="82" spans="1:13" x14ac:dyDescent="0.35">
      <c r="A82" s="243" t="s">
        <v>325</v>
      </c>
      <c r="B82" s="229"/>
      <c r="C82" s="228">
        <v>0</v>
      </c>
      <c r="D82" s="228">
        <v>0</v>
      </c>
      <c r="E82" s="228">
        <v>0</v>
      </c>
      <c r="F82" s="233">
        <v>0</v>
      </c>
      <c r="G82" s="228">
        <v>0</v>
      </c>
      <c r="H82" s="228">
        <v>0</v>
      </c>
      <c r="I82" s="233">
        <v>0</v>
      </c>
      <c r="J82" s="228">
        <v>0</v>
      </c>
      <c r="K82" s="228">
        <v>0</v>
      </c>
      <c r="L82" s="228">
        <v>0</v>
      </c>
      <c r="M82" s="236">
        <v>0</v>
      </c>
    </row>
    <row r="83" spans="1:13" x14ac:dyDescent="0.35">
      <c r="A83" s="243" t="s">
        <v>326</v>
      </c>
      <c r="B83" s="229"/>
      <c r="C83" s="228">
        <v>0</v>
      </c>
      <c r="D83" s="228">
        <v>0</v>
      </c>
      <c r="E83" s="228">
        <v>0</v>
      </c>
      <c r="F83" s="233">
        <v>0</v>
      </c>
      <c r="G83" s="228">
        <v>0</v>
      </c>
      <c r="H83" s="228">
        <v>0</v>
      </c>
      <c r="I83" s="233">
        <v>0</v>
      </c>
      <c r="J83" s="228">
        <v>0</v>
      </c>
      <c r="K83" s="228">
        <v>0</v>
      </c>
      <c r="L83" s="228">
        <v>0</v>
      </c>
      <c r="M83" s="236">
        <v>0</v>
      </c>
    </row>
    <row r="84" spans="1:13" x14ac:dyDescent="0.35">
      <c r="A84" s="243" t="s">
        <v>327</v>
      </c>
      <c r="B84" s="229"/>
      <c r="C84" s="228">
        <v>0</v>
      </c>
      <c r="D84" s="228">
        <v>0</v>
      </c>
      <c r="E84" s="228">
        <v>0</v>
      </c>
      <c r="F84" s="233">
        <v>0</v>
      </c>
      <c r="G84" s="228">
        <v>0</v>
      </c>
      <c r="H84" s="228">
        <v>0</v>
      </c>
      <c r="I84" s="233">
        <v>0</v>
      </c>
      <c r="J84" s="228">
        <v>0</v>
      </c>
      <c r="K84" s="228">
        <v>100000</v>
      </c>
      <c r="L84" s="228">
        <v>100000</v>
      </c>
      <c r="M84" s="236">
        <v>100000</v>
      </c>
    </row>
    <row r="85" spans="1:13" x14ac:dyDescent="0.35">
      <c r="A85" s="243" t="s">
        <v>328</v>
      </c>
      <c r="B85" s="229"/>
      <c r="C85" s="228">
        <v>0</v>
      </c>
      <c r="D85" s="228">
        <v>0</v>
      </c>
      <c r="E85" s="228">
        <v>0</v>
      </c>
      <c r="F85" s="233">
        <v>0</v>
      </c>
      <c r="G85" s="228">
        <v>0</v>
      </c>
      <c r="H85" s="228">
        <v>0</v>
      </c>
      <c r="I85" s="233">
        <v>0</v>
      </c>
      <c r="J85" s="228">
        <v>0</v>
      </c>
      <c r="K85" s="228">
        <v>0</v>
      </c>
      <c r="L85" s="228">
        <v>0</v>
      </c>
      <c r="M85" s="236">
        <v>0</v>
      </c>
    </row>
    <row r="86" spans="1:13" x14ac:dyDescent="0.35">
      <c r="A86" s="243" t="s">
        <v>329</v>
      </c>
      <c r="B86" s="229"/>
      <c r="C86" s="228">
        <v>0</v>
      </c>
      <c r="D86" s="228">
        <v>0</v>
      </c>
      <c r="E86" s="228">
        <v>0</v>
      </c>
      <c r="F86" s="233">
        <v>0</v>
      </c>
      <c r="G86" s="228">
        <v>0</v>
      </c>
      <c r="H86" s="228">
        <v>0</v>
      </c>
      <c r="I86" s="233">
        <v>0</v>
      </c>
      <c r="J86" s="228">
        <v>0</v>
      </c>
      <c r="K86" s="228">
        <v>100000</v>
      </c>
      <c r="L86" s="228">
        <v>100000</v>
      </c>
      <c r="M86" s="236">
        <v>100000</v>
      </c>
    </row>
    <row r="87" spans="1:13" x14ac:dyDescent="0.35">
      <c r="A87" s="234" t="s">
        <v>271</v>
      </c>
      <c r="B87" s="235" t="s">
        <v>254</v>
      </c>
      <c r="C87" s="228"/>
      <c r="D87" s="228"/>
      <c r="E87" s="228"/>
      <c r="F87" s="233"/>
      <c r="G87" s="228"/>
      <c r="H87" s="228"/>
      <c r="I87" s="233"/>
      <c r="J87" s="228"/>
      <c r="K87" s="228"/>
      <c r="L87" s="228"/>
      <c r="M87" s="236"/>
    </row>
    <row r="88" spans="1:13" x14ac:dyDescent="0.35">
      <c r="A88" s="226"/>
      <c r="B88" s="311">
        <v>0</v>
      </c>
      <c r="C88" s="232">
        <v>0</v>
      </c>
      <c r="D88" s="232">
        <v>0</v>
      </c>
      <c r="E88" s="232">
        <v>0</v>
      </c>
      <c r="F88" s="241">
        <v>0</v>
      </c>
      <c r="G88" s="232">
        <v>0</v>
      </c>
      <c r="H88" s="232">
        <v>0</v>
      </c>
      <c r="I88" s="241">
        <v>0</v>
      </c>
      <c r="J88" s="232">
        <v>0</v>
      </c>
      <c r="K88" s="232">
        <v>0</v>
      </c>
      <c r="L88" s="232">
        <v>0</v>
      </c>
      <c r="M88" s="242">
        <v>0</v>
      </c>
    </row>
    <row r="89" spans="1:13" x14ac:dyDescent="0.35">
      <c r="A89" s="226"/>
      <c r="B89" s="240" t="s">
        <v>256</v>
      </c>
      <c r="C89" s="232"/>
      <c r="D89" s="232"/>
      <c r="E89" s="232"/>
      <c r="F89" s="241"/>
      <c r="G89" s="232"/>
      <c r="H89" s="232"/>
      <c r="I89" s="241"/>
      <c r="J89" s="232"/>
      <c r="K89" s="232"/>
      <c r="L89" s="232"/>
      <c r="M89" s="242"/>
    </row>
    <row r="90" spans="1:13" x14ac:dyDescent="0.35">
      <c r="A90" s="226"/>
      <c r="B90" s="311">
        <v>0</v>
      </c>
      <c r="C90" s="232">
        <v>0</v>
      </c>
      <c r="D90" s="232">
        <v>0</v>
      </c>
      <c r="E90" s="232">
        <v>0</v>
      </c>
      <c r="F90" s="241">
        <v>0</v>
      </c>
      <c r="G90" s="232">
        <v>0</v>
      </c>
      <c r="H90" s="232">
        <v>0</v>
      </c>
      <c r="I90" s="241">
        <v>0</v>
      </c>
      <c r="J90" s="232">
        <v>0</v>
      </c>
      <c r="K90" s="232">
        <v>0</v>
      </c>
      <c r="L90" s="232">
        <v>0</v>
      </c>
      <c r="M90" s="242">
        <v>0</v>
      </c>
    </row>
    <row r="91" spans="1:13" x14ac:dyDescent="0.35">
      <c r="A91" s="226"/>
      <c r="B91" s="240" t="s">
        <v>138</v>
      </c>
      <c r="C91" s="232"/>
      <c r="D91" s="232"/>
      <c r="E91" s="232"/>
      <c r="F91" s="241"/>
      <c r="G91" s="232"/>
      <c r="H91" s="232"/>
      <c r="I91" s="241"/>
      <c r="J91" s="232"/>
      <c r="K91" s="232"/>
      <c r="L91" s="232"/>
      <c r="M91" s="242"/>
    </row>
    <row r="92" spans="1:13" x14ac:dyDescent="0.35">
      <c r="A92" s="226"/>
      <c r="B92" s="311">
        <v>0</v>
      </c>
      <c r="C92" s="232">
        <v>0</v>
      </c>
      <c r="D92" s="232">
        <v>0</v>
      </c>
      <c r="E92" s="232">
        <v>0</v>
      </c>
      <c r="F92" s="241">
        <v>0</v>
      </c>
      <c r="G92" s="232">
        <v>0</v>
      </c>
      <c r="H92" s="232">
        <v>0</v>
      </c>
      <c r="I92" s="241">
        <v>0</v>
      </c>
      <c r="J92" s="232">
        <v>0</v>
      </c>
      <c r="K92" s="232">
        <v>0</v>
      </c>
      <c r="L92" s="232">
        <v>0</v>
      </c>
      <c r="M92" s="242">
        <v>0</v>
      </c>
    </row>
    <row r="93" spans="1:13" x14ac:dyDescent="0.35">
      <c r="A93" s="226"/>
      <c r="B93" s="240" t="s">
        <v>139</v>
      </c>
      <c r="C93" s="232"/>
      <c r="D93" s="232"/>
      <c r="E93" s="232"/>
      <c r="F93" s="241"/>
      <c r="G93" s="232"/>
      <c r="H93" s="232"/>
      <c r="I93" s="241"/>
      <c r="J93" s="232"/>
      <c r="K93" s="232"/>
      <c r="L93" s="232"/>
      <c r="M93" s="242"/>
    </row>
    <row r="94" spans="1:13" x14ac:dyDescent="0.35">
      <c r="A94" s="226"/>
      <c r="B94" s="311">
        <v>0</v>
      </c>
      <c r="C94" s="232">
        <v>0</v>
      </c>
      <c r="D94" s="232">
        <v>0</v>
      </c>
      <c r="E94" s="232">
        <v>0</v>
      </c>
      <c r="F94" s="241">
        <v>0</v>
      </c>
      <c r="G94" s="232">
        <v>0</v>
      </c>
      <c r="H94" s="232">
        <v>0</v>
      </c>
      <c r="I94" s="241">
        <v>0</v>
      </c>
      <c r="J94" s="232">
        <v>0</v>
      </c>
      <c r="K94" s="232">
        <v>0</v>
      </c>
      <c r="L94" s="232">
        <v>0</v>
      </c>
      <c r="M94" s="242">
        <v>0</v>
      </c>
    </row>
    <row r="95" spans="1:13" x14ac:dyDescent="0.35">
      <c r="A95" s="226"/>
      <c r="B95" s="240" t="s">
        <v>141</v>
      </c>
      <c r="C95" s="232"/>
      <c r="D95" s="232"/>
      <c r="E95" s="232"/>
      <c r="F95" s="241"/>
      <c r="G95" s="232"/>
      <c r="H95" s="232"/>
      <c r="I95" s="241"/>
      <c r="J95" s="232"/>
      <c r="K95" s="232"/>
      <c r="L95" s="232"/>
      <c r="M95" s="242"/>
    </row>
    <row r="96" spans="1:13" x14ac:dyDescent="0.35">
      <c r="A96" s="226"/>
      <c r="B96" s="311">
        <v>0</v>
      </c>
      <c r="C96" s="232">
        <v>0</v>
      </c>
      <c r="D96" s="232">
        <v>0</v>
      </c>
      <c r="E96" s="232">
        <v>0</v>
      </c>
      <c r="F96" s="241">
        <v>0</v>
      </c>
      <c r="G96" s="232">
        <v>0</v>
      </c>
      <c r="H96" s="232">
        <v>0</v>
      </c>
      <c r="I96" s="241">
        <v>0</v>
      </c>
      <c r="J96" s="232">
        <v>0</v>
      </c>
      <c r="K96" s="232">
        <v>0</v>
      </c>
      <c r="L96" s="232">
        <v>0</v>
      </c>
      <c r="M96" s="242">
        <v>0</v>
      </c>
    </row>
    <row r="97" spans="1:13" x14ac:dyDescent="0.35">
      <c r="A97" s="226"/>
      <c r="B97" s="240" t="s">
        <v>140</v>
      </c>
      <c r="C97" s="232"/>
      <c r="D97" s="232"/>
      <c r="E97" s="232"/>
      <c r="F97" s="241"/>
      <c r="G97" s="232"/>
      <c r="H97" s="232"/>
      <c r="I97" s="241"/>
      <c r="J97" s="232"/>
      <c r="K97" s="232"/>
      <c r="L97" s="232"/>
      <c r="M97" s="242"/>
    </row>
    <row r="98" spans="1:13" x14ac:dyDescent="0.35">
      <c r="A98" s="226"/>
      <c r="B98" s="311">
        <v>0</v>
      </c>
      <c r="C98" s="232">
        <v>0</v>
      </c>
      <c r="D98" s="232">
        <v>0</v>
      </c>
      <c r="E98" s="232">
        <v>0</v>
      </c>
      <c r="F98" s="241">
        <v>0</v>
      </c>
      <c r="G98" s="232">
        <v>0</v>
      </c>
      <c r="H98" s="232">
        <v>0</v>
      </c>
      <c r="I98" s="241">
        <v>0</v>
      </c>
      <c r="J98" s="232">
        <v>0</v>
      </c>
      <c r="K98" s="232">
        <v>0</v>
      </c>
      <c r="L98" s="232">
        <v>0</v>
      </c>
      <c r="M98" s="242">
        <v>0</v>
      </c>
    </row>
    <row r="99" spans="1:13" x14ac:dyDescent="0.35">
      <c r="A99" s="226"/>
      <c r="B99" s="240" t="s">
        <v>289</v>
      </c>
      <c r="C99" s="232"/>
      <c r="D99" s="232"/>
      <c r="E99" s="232"/>
      <c r="F99" s="241"/>
      <c r="G99" s="232"/>
      <c r="H99" s="232"/>
      <c r="I99" s="241"/>
      <c r="J99" s="232"/>
      <c r="K99" s="232"/>
      <c r="L99" s="232"/>
      <c r="M99" s="242"/>
    </row>
    <row r="100" spans="1:13" x14ac:dyDescent="0.35">
      <c r="A100" s="226"/>
      <c r="B100" s="311">
        <v>0</v>
      </c>
      <c r="C100" s="232">
        <v>0</v>
      </c>
      <c r="D100" s="232">
        <v>0</v>
      </c>
      <c r="E100" s="232">
        <v>0</v>
      </c>
      <c r="F100" s="241">
        <v>0</v>
      </c>
      <c r="G100" s="232">
        <v>0</v>
      </c>
      <c r="H100" s="232">
        <v>0</v>
      </c>
      <c r="I100" s="241">
        <v>0</v>
      </c>
      <c r="J100" s="232">
        <v>0</v>
      </c>
      <c r="K100" s="232">
        <v>0</v>
      </c>
      <c r="L100" s="232">
        <v>0</v>
      </c>
      <c r="M100" s="242">
        <v>0</v>
      </c>
    </row>
    <row r="101" spans="1:13" x14ac:dyDescent="0.35">
      <c r="A101" s="226"/>
      <c r="B101" s="240" t="s">
        <v>142</v>
      </c>
      <c r="C101" s="232"/>
      <c r="D101" s="232"/>
      <c r="E101" s="232"/>
      <c r="F101" s="241"/>
      <c r="G101" s="232"/>
      <c r="H101" s="232"/>
      <c r="I101" s="241"/>
      <c r="J101" s="232"/>
      <c r="K101" s="232"/>
      <c r="L101" s="232"/>
      <c r="M101" s="242"/>
    </row>
    <row r="102" spans="1:13" x14ac:dyDescent="0.35">
      <c r="A102" s="226"/>
      <c r="B102" s="311">
        <v>0</v>
      </c>
      <c r="C102" s="232">
        <v>100000</v>
      </c>
      <c r="D102" s="232">
        <v>100000</v>
      </c>
      <c r="E102" s="232">
        <v>0</v>
      </c>
      <c r="F102" s="241">
        <v>0</v>
      </c>
      <c r="G102" s="232">
        <v>0</v>
      </c>
      <c r="H102" s="232">
        <v>0</v>
      </c>
      <c r="I102" s="241">
        <v>0</v>
      </c>
      <c r="J102" s="232">
        <v>0</v>
      </c>
      <c r="K102" s="232">
        <v>0</v>
      </c>
      <c r="L102" s="232">
        <v>0</v>
      </c>
      <c r="M102" s="242">
        <v>100000</v>
      </c>
    </row>
    <row r="103" spans="1:13" x14ac:dyDescent="0.35">
      <c r="A103" s="226"/>
      <c r="B103" s="240" t="s">
        <v>184</v>
      </c>
      <c r="C103" s="232"/>
      <c r="D103" s="232"/>
      <c r="E103" s="232"/>
      <c r="F103" s="241"/>
      <c r="G103" s="232"/>
      <c r="H103" s="232"/>
      <c r="I103" s="241"/>
      <c r="J103" s="232"/>
      <c r="K103" s="232"/>
      <c r="L103" s="232"/>
      <c r="M103" s="242"/>
    </row>
    <row r="104" spans="1:13" x14ac:dyDescent="0.35">
      <c r="A104" s="226"/>
      <c r="B104" s="311">
        <v>0</v>
      </c>
      <c r="C104" s="232">
        <v>100000</v>
      </c>
      <c r="D104" s="232">
        <v>100000</v>
      </c>
      <c r="E104" s="232">
        <v>0</v>
      </c>
      <c r="F104" s="241">
        <v>0</v>
      </c>
      <c r="G104" s="232">
        <v>0</v>
      </c>
      <c r="H104" s="232">
        <v>0</v>
      </c>
      <c r="I104" s="241">
        <v>0</v>
      </c>
      <c r="J104" s="232">
        <v>0</v>
      </c>
      <c r="K104" s="232">
        <v>0</v>
      </c>
      <c r="L104" s="232">
        <v>0</v>
      </c>
      <c r="M104" s="242">
        <v>100000</v>
      </c>
    </row>
    <row r="105" spans="1:13" x14ac:dyDescent="0.35">
      <c r="A105" s="243" t="s">
        <v>332</v>
      </c>
      <c r="B105" s="229"/>
      <c r="C105" s="228">
        <v>0</v>
      </c>
      <c r="D105" s="228">
        <v>0</v>
      </c>
      <c r="E105" s="228">
        <v>0</v>
      </c>
      <c r="F105" s="233">
        <v>0</v>
      </c>
      <c r="G105" s="228">
        <v>0</v>
      </c>
      <c r="H105" s="228">
        <v>0</v>
      </c>
      <c r="I105" s="233">
        <v>0</v>
      </c>
      <c r="J105" s="228">
        <v>0</v>
      </c>
      <c r="K105" s="228">
        <v>0</v>
      </c>
      <c r="L105" s="228">
        <v>0</v>
      </c>
      <c r="M105" s="236">
        <v>0</v>
      </c>
    </row>
    <row r="106" spans="1:13" x14ac:dyDescent="0.35">
      <c r="A106" s="243" t="s">
        <v>333</v>
      </c>
      <c r="B106" s="229"/>
      <c r="C106" s="228">
        <v>0</v>
      </c>
      <c r="D106" s="228">
        <v>0</v>
      </c>
      <c r="E106" s="228">
        <v>0</v>
      </c>
      <c r="F106" s="233">
        <v>0</v>
      </c>
      <c r="G106" s="228">
        <v>0</v>
      </c>
      <c r="H106" s="228">
        <v>0</v>
      </c>
      <c r="I106" s="233">
        <v>0</v>
      </c>
      <c r="J106" s="228">
        <v>0</v>
      </c>
      <c r="K106" s="228">
        <v>0</v>
      </c>
      <c r="L106" s="228">
        <v>0</v>
      </c>
      <c r="M106" s="236">
        <v>0</v>
      </c>
    </row>
    <row r="107" spans="1:13" x14ac:dyDescent="0.35">
      <c r="A107" s="243" t="s">
        <v>334</v>
      </c>
      <c r="B107" s="229"/>
      <c r="C107" s="228">
        <v>0</v>
      </c>
      <c r="D107" s="228">
        <v>0</v>
      </c>
      <c r="E107" s="228">
        <v>0</v>
      </c>
      <c r="F107" s="233">
        <v>0</v>
      </c>
      <c r="G107" s="228">
        <v>0</v>
      </c>
      <c r="H107" s="228">
        <v>0</v>
      </c>
      <c r="I107" s="233">
        <v>0</v>
      </c>
      <c r="J107" s="228">
        <v>0</v>
      </c>
      <c r="K107" s="228">
        <v>0</v>
      </c>
      <c r="L107" s="228">
        <v>0</v>
      </c>
      <c r="M107" s="236">
        <v>0</v>
      </c>
    </row>
    <row r="108" spans="1:13" x14ac:dyDescent="0.35">
      <c r="A108" s="243" t="s">
        <v>335</v>
      </c>
      <c r="B108" s="229"/>
      <c r="C108" s="228">
        <v>0</v>
      </c>
      <c r="D108" s="228">
        <v>0</v>
      </c>
      <c r="E108" s="228">
        <v>0</v>
      </c>
      <c r="F108" s="233">
        <v>0</v>
      </c>
      <c r="G108" s="228">
        <v>0</v>
      </c>
      <c r="H108" s="228">
        <v>0</v>
      </c>
      <c r="I108" s="233">
        <v>0</v>
      </c>
      <c r="J108" s="228">
        <v>0</v>
      </c>
      <c r="K108" s="228">
        <v>0</v>
      </c>
      <c r="L108" s="228">
        <v>0</v>
      </c>
      <c r="M108" s="236">
        <v>0</v>
      </c>
    </row>
    <row r="109" spans="1:13" x14ac:dyDescent="0.35">
      <c r="A109" s="243" t="s">
        <v>336</v>
      </c>
      <c r="B109" s="229"/>
      <c r="C109" s="228">
        <v>0</v>
      </c>
      <c r="D109" s="228">
        <v>0</v>
      </c>
      <c r="E109" s="228">
        <v>0</v>
      </c>
      <c r="F109" s="233">
        <v>0</v>
      </c>
      <c r="G109" s="228">
        <v>0</v>
      </c>
      <c r="H109" s="228">
        <v>0</v>
      </c>
      <c r="I109" s="233">
        <v>0</v>
      </c>
      <c r="J109" s="228">
        <v>0</v>
      </c>
      <c r="K109" s="228">
        <v>0</v>
      </c>
      <c r="L109" s="228">
        <v>0</v>
      </c>
      <c r="M109" s="236">
        <v>0</v>
      </c>
    </row>
    <row r="110" spans="1:13" x14ac:dyDescent="0.35">
      <c r="A110" s="243" t="s">
        <v>337</v>
      </c>
      <c r="B110" s="229"/>
      <c r="C110" s="228">
        <v>0</v>
      </c>
      <c r="D110" s="228">
        <v>0</v>
      </c>
      <c r="E110" s="228">
        <v>0</v>
      </c>
      <c r="F110" s="233">
        <v>0</v>
      </c>
      <c r="G110" s="228">
        <v>0</v>
      </c>
      <c r="H110" s="228">
        <v>0</v>
      </c>
      <c r="I110" s="233">
        <v>0</v>
      </c>
      <c r="J110" s="228">
        <v>0</v>
      </c>
      <c r="K110" s="228">
        <v>0</v>
      </c>
      <c r="L110" s="228">
        <v>0</v>
      </c>
      <c r="M110" s="236">
        <v>0</v>
      </c>
    </row>
    <row r="111" spans="1:13" x14ac:dyDescent="0.35">
      <c r="A111" s="243" t="s">
        <v>338</v>
      </c>
      <c r="B111" s="229"/>
      <c r="C111" s="228">
        <v>0</v>
      </c>
      <c r="D111" s="228">
        <v>0</v>
      </c>
      <c r="E111" s="228">
        <v>0</v>
      </c>
      <c r="F111" s="233">
        <v>0</v>
      </c>
      <c r="G111" s="228">
        <v>0</v>
      </c>
      <c r="H111" s="228">
        <v>0</v>
      </c>
      <c r="I111" s="233">
        <v>0</v>
      </c>
      <c r="J111" s="228">
        <v>0</v>
      </c>
      <c r="K111" s="228">
        <v>0</v>
      </c>
      <c r="L111" s="228">
        <v>0</v>
      </c>
      <c r="M111" s="236">
        <v>0</v>
      </c>
    </row>
    <row r="112" spans="1:13" x14ac:dyDescent="0.35">
      <c r="A112" s="243" t="s">
        <v>339</v>
      </c>
      <c r="B112" s="229"/>
      <c r="C112" s="228">
        <v>100000</v>
      </c>
      <c r="D112" s="228">
        <v>100000</v>
      </c>
      <c r="E112" s="228">
        <v>0</v>
      </c>
      <c r="F112" s="233">
        <v>0</v>
      </c>
      <c r="G112" s="228">
        <v>0</v>
      </c>
      <c r="H112" s="228">
        <v>0</v>
      </c>
      <c r="I112" s="233">
        <v>0</v>
      </c>
      <c r="J112" s="228">
        <v>0</v>
      </c>
      <c r="K112" s="228">
        <v>0</v>
      </c>
      <c r="L112" s="228">
        <v>0</v>
      </c>
      <c r="M112" s="236">
        <v>100000</v>
      </c>
    </row>
    <row r="113" spans="1:13" x14ac:dyDescent="0.35">
      <c r="A113" s="243" t="s">
        <v>340</v>
      </c>
      <c r="B113" s="229"/>
      <c r="C113" s="228">
        <v>100000</v>
      </c>
      <c r="D113" s="228">
        <v>100000</v>
      </c>
      <c r="E113" s="228">
        <v>0</v>
      </c>
      <c r="F113" s="233">
        <v>0</v>
      </c>
      <c r="G113" s="228">
        <v>0</v>
      </c>
      <c r="H113" s="228">
        <v>0</v>
      </c>
      <c r="I113" s="233">
        <v>0</v>
      </c>
      <c r="J113" s="228">
        <v>0</v>
      </c>
      <c r="K113" s="228">
        <v>0</v>
      </c>
      <c r="L113" s="228">
        <v>0</v>
      </c>
      <c r="M113" s="236">
        <v>100000</v>
      </c>
    </row>
    <row r="114" spans="1:13" x14ac:dyDescent="0.35">
      <c r="A114" s="243" t="s">
        <v>255</v>
      </c>
      <c r="B114" s="229"/>
      <c r="C114" s="228">
        <v>0</v>
      </c>
      <c r="D114" s="228">
        <v>0</v>
      </c>
      <c r="E114" s="228">
        <v>20000</v>
      </c>
      <c r="F114" s="233">
        <v>12000</v>
      </c>
      <c r="G114" s="228">
        <v>32000</v>
      </c>
      <c r="H114" s="228">
        <v>0</v>
      </c>
      <c r="I114" s="233">
        <v>0</v>
      </c>
      <c r="J114" s="228">
        <v>0</v>
      </c>
      <c r="K114" s="228">
        <v>0</v>
      </c>
      <c r="L114" s="228">
        <v>0</v>
      </c>
      <c r="M114" s="236">
        <v>32000</v>
      </c>
    </row>
    <row r="115" spans="1:13" x14ac:dyDescent="0.35">
      <c r="A115" s="243" t="s">
        <v>257</v>
      </c>
      <c r="B115" s="229"/>
      <c r="C115" s="228">
        <v>0</v>
      </c>
      <c r="D115" s="228">
        <v>0</v>
      </c>
      <c r="E115" s="228">
        <v>0</v>
      </c>
      <c r="F115" s="233">
        <v>0</v>
      </c>
      <c r="G115" s="228">
        <v>0</v>
      </c>
      <c r="H115" s="228">
        <v>0</v>
      </c>
      <c r="I115" s="233">
        <v>0</v>
      </c>
      <c r="J115" s="228">
        <v>0</v>
      </c>
      <c r="K115" s="228">
        <v>0</v>
      </c>
      <c r="L115" s="228">
        <v>0</v>
      </c>
      <c r="M115" s="236">
        <v>0</v>
      </c>
    </row>
    <row r="116" spans="1:13" x14ac:dyDescent="0.35">
      <c r="A116" s="243" t="s">
        <v>210</v>
      </c>
      <c r="B116" s="229"/>
      <c r="C116" s="228">
        <v>0</v>
      </c>
      <c r="D116" s="228">
        <v>0</v>
      </c>
      <c r="E116" s="228">
        <v>4000</v>
      </c>
      <c r="F116" s="233">
        <v>2400</v>
      </c>
      <c r="G116" s="228">
        <v>6400</v>
      </c>
      <c r="H116" s="228">
        <v>0</v>
      </c>
      <c r="I116" s="233">
        <v>0</v>
      </c>
      <c r="J116" s="228">
        <v>0</v>
      </c>
      <c r="K116" s="228">
        <v>0</v>
      </c>
      <c r="L116" s="228">
        <v>0</v>
      </c>
      <c r="M116" s="236">
        <v>6400</v>
      </c>
    </row>
    <row r="117" spans="1:13" x14ac:dyDescent="0.35">
      <c r="A117" s="243" t="s">
        <v>211</v>
      </c>
      <c r="B117" s="229"/>
      <c r="C117" s="228">
        <v>0</v>
      </c>
      <c r="D117" s="228">
        <v>0</v>
      </c>
      <c r="E117" s="228">
        <v>0</v>
      </c>
      <c r="F117" s="233">
        <v>10000</v>
      </c>
      <c r="G117" s="228">
        <v>10000</v>
      </c>
      <c r="H117" s="228">
        <v>0</v>
      </c>
      <c r="I117" s="233">
        <v>0</v>
      </c>
      <c r="J117" s="228">
        <v>0</v>
      </c>
      <c r="K117" s="228">
        <v>0</v>
      </c>
      <c r="L117" s="228">
        <v>0</v>
      </c>
      <c r="M117" s="236">
        <v>10000</v>
      </c>
    </row>
    <row r="118" spans="1:13" x14ac:dyDescent="0.35">
      <c r="A118" s="243" t="s">
        <v>212</v>
      </c>
      <c r="B118" s="229"/>
      <c r="C118" s="228">
        <v>0</v>
      </c>
      <c r="D118" s="228">
        <v>0</v>
      </c>
      <c r="E118" s="228">
        <v>0</v>
      </c>
      <c r="F118" s="233">
        <v>0</v>
      </c>
      <c r="G118" s="228">
        <v>0</v>
      </c>
      <c r="H118" s="228">
        <v>0</v>
      </c>
      <c r="I118" s="233">
        <v>0</v>
      </c>
      <c r="J118" s="228">
        <v>0</v>
      </c>
      <c r="K118" s="228">
        <v>0</v>
      </c>
      <c r="L118" s="228">
        <v>0</v>
      </c>
      <c r="M118" s="236">
        <v>0</v>
      </c>
    </row>
    <row r="119" spans="1:13" x14ac:dyDescent="0.35">
      <c r="A119" s="243" t="s">
        <v>213</v>
      </c>
      <c r="B119" s="229"/>
      <c r="C119" s="228">
        <v>0</v>
      </c>
      <c r="D119" s="228">
        <v>0</v>
      </c>
      <c r="E119" s="228">
        <v>0</v>
      </c>
      <c r="F119" s="233">
        <v>0</v>
      </c>
      <c r="G119" s="228">
        <v>0</v>
      </c>
      <c r="H119" s="228">
        <v>0</v>
      </c>
      <c r="I119" s="233">
        <v>0</v>
      </c>
      <c r="J119" s="228">
        <v>0</v>
      </c>
      <c r="K119" s="228">
        <v>0</v>
      </c>
      <c r="L119" s="228">
        <v>0</v>
      </c>
      <c r="M119" s="236">
        <v>0</v>
      </c>
    </row>
    <row r="120" spans="1:13" x14ac:dyDescent="0.35">
      <c r="A120" s="243" t="s">
        <v>290</v>
      </c>
      <c r="B120" s="229"/>
      <c r="C120" s="228">
        <v>0</v>
      </c>
      <c r="D120" s="228">
        <v>0</v>
      </c>
      <c r="E120" s="228">
        <v>0</v>
      </c>
      <c r="F120" s="233">
        <v>0</v>
      </c>
      <c r="G120" s="228">
        <v>0</v>
      </c>
      <c r="H120" s="228">
        <v>0</v>
      </c>
      <c r="I120" s="233">
        <v>0</v>
      </c>
      <c r="J120" s="228">
        <v>0</v>
      </c>
      <c r="K120" s="228">
        <v>100000</v>
      </c>
      <c r="L120" s="228">
        <v>100000</v>
      </c>
      <c r="M120" s="236">
        <v>100000</v>
      </c>
    </row>
    <row r="121" spans="1:13" x14ac:dyDescent="0.35">
      <c r="A121" s="243" t="s">
        <v>214</v>
      </c>
      <c r="B121" s="229"/>
      <c r="C121" s="228">
        <v>100000</v>
      </c>
      <c r="D121" s="228">
        <v>100000</v>
      </c>
      <c r="E121" s="228">
        <v>0</v>
      </c>
      <c r="F121" s="233">
        <v>0</v>
      </c>
      <c r="G121" s="228">
        <v>0</v>
      </c>
      <c r="H121" s="228">
        <v>0</v>
      </c>
      <c r="I121" s="233">
        <v>0</v>
      </c>
      <c r="J121" s="228">
        <v>0</v>
      </c>
      <c r="K121" s="228">
        <v>0</v>
      </c>
      <c r="L121" s="228">
        <v>0</v>
      </c>
      <c r="M121" s="236">
        <v>100000</v>
      </c>
    </row>
    <row r="122" spans="1:13" x14ac:dyDescent="0.35">
      <c r="A122" s="244" t="s">
        <v>215</v>
      </c>
      <c r="B122" s="245"/>
      <c r="C122" s="246">
        <v>100000</v>
      </c>
      <c r="D122" s="246">
        <v>100000</v>
      </c>
      <c r="E122" s="246">
        <v>24000</v>
      </c>
      <c r="F122" s="247">
        <v>224400</v>
      </c>
      <c r="G122" s="246">
        <v>248400</v>
      </c>
      <c r="H122" s="246">
        <v>0</v>
      </c>
      <c r="I122" s="247">
        <v>0</v>
      </c>
      <c r="J122" s="246">
        <v>0</v>
      </c>
      <c r="K122" s="246">
        <v>100000</v>
      </c>
      <c r="L122" s="246">
        <v>100000</v>
      </c>
      <c r="M122" s="222">
        <v>448400</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theme="0" tint="-0.14999847407452621"/>
  </sheetPr>
  <dimension ref="B2:AA57"/>
  <sheetViews>
    <sheetView zoomScale="90" zoomScaleNormal="90" workbookViewId="0"/>
  </sheetViews>
  <sheetFormatPr baseColWidth="10" defaultColWidth="11.453125" defaultRowHeight="14.5" x14ac:dyDescent="0.35"/>
  <cols>
    <col min="1" max="1" width="5" style="76" customWidth="1"/>
    <col min="2" max="2" width="41.54296875" style="76" customWidth="1"/>
    <col min="3" max="3" width="17.81640625" style="76" bestFit="1" customWidth="1"/>
    <col min="4" max="4" width="13" style="94" bestFit="1" customWidth="1"/>
    <col min="5" max="7" width="12.81640625" style="94" bestFit="1" customWidth="1"/>
    <col min="8" max="9" width="11.453125" style="94"/>
    <col min="10" max="11" width="11.453125" style="76"/>
    <col min="12" max="12" width="19" style="94" customWidth="1"/>
    <col min="13" max="13" width="37" style="94" customWidth="1"/>
    <col min="14" max="15" width="13.26953125" style="94" customWidth="1"/>
    <col min="16" max="17" width="13.26953125" style="76" customWidth="1"/>
    <col min="18" max="18" width="19.54296875" style="76" customWidth="1"/>
    <col min="19" max="19" width="13.26953125" style="76" customWidth="1"/>
    <col min="20" max="20" width="25.1796875" style="76" customWidth="1"/>
    <col min="21" max="21" width="13.26953125" style="76" customWidth="1"/>
    <col min="22" max="24" width="52.54296875" style="76" customWidth="1"/>
    <col min="25" max="25" width="40.7265625" style="76" customWidth="1"/>
    <col min="26" max="26" width="59.81640625" style="76" customWidth="1"/>
    <col min="27" max="27" width="39.1796875" style="76" customWidth="1"/>
    <col min="28" max="28" width="39.81640625" style="76" customWidth="1"/>
    <col min="29" max="29" width="39.54296875" style="76" customWidth="1"/>
    <col min="30" max="30" width="50.54296875" style="76" customWidth="1"/>
    <col min="31" max="31" width="35.7265625" style="76" customWidth="1"/>
    <col min="32" max="32" width="46.54296875" style="76" bestFit="1" customWidth="1"/>
    <col min="33" max="33" width="47.453125" style="76" customWidth="1"/>
    <col min="34" max="34" width="47.1796875" style="76" bestFit="1" customWidth="1"/>
    <col min="35" max="35" width="62.453125" style="76" bestFit="1" customWidth="1"/>
    <col min="36" max="36" width="44" style="76" bestFit="1" customWidth="1"/>
    <col min="37" max="37" width="57.81640625" style="76" bestFit="1" customWidth="1"/>
    <col min="38" max="38" width="43" style="76" bestFit="1" customWidth="1"/>
    <col min="39" max="39" width="39.1796875" style="76" bestFit="1" customWidth="1"/>
    <col min="40" max="40" width="39.81640625" style="76" bestFit="1" customWidth="1"/>
    <col min="41" max="41" width="39.54296875" style="76" bestFit="1" customWidth="1"/>
    <col min="42" max="42" width="54.7265625" style="76" bestFit="1" customWidth="1"/>
    <col min="43" max="43" width="36.7265625" style="76" bestFit="1" customWidth="1"/>
    <col min="44" max="44" width="50.54296875" style="76" bestFit="1" customWidth="1"/>
    <col min="45" max="45" width="35.7265625" style="76" bestFit="1" customWidth="1"/>
    <col min="46" max="16384" width="11.453125" style="76"/>
  </cols>
  <sheetData>
    <row r="2" spans="2:27" ht="15.5" x14ac:dyDescent="0.35">
      <c r="B2" s="128" t="s">
        <v>154</v>
      </c>
      <c r="C2" s="338" t="str">
        <f>Partenaires!B3</f>
        <v>AAP</v>
      </c>
      <c r="D2" s="338"/>
      <c r="E2" s="338"/>
      <c r="F2" s="129"/>
      <c r="G2" s="130"/>
      <c r="H2" s="129"/>
      <c r="I2" s="129"/>
    </row>
    <row r="3" spans="2:27" ht="15.5" x14ac:dyDescent="0.35">
      <c r="B3" s="128" t="s">
        <v>155</v>
      </c>
      <c r="C3" s="338" t="str">
        <f>Partenaires!B4</f>
        <v>Projet</v>
      </c>
      <c r="D3" s="338"/>
      <c r="E3" s="338"/>
      <c r="F3" s="129"/>
      <c r="G3" s="130"/>
      <c r="H3" s="129"/>
      <c r="I3" s="129"/>
    </row>
    <row r="4" spans="2:27" ht="15.5" x14ac:dyDescent="0.35">
      <c r="B4" s="128" t="s">
        <v>156</v>
      </c>
      <c r="C4" s="338" t="str">
        <f>Partenaires!B10</f>
        <v>Partenaire 1</v>
      </c>
      <c r="D4" s="338"/>
      <c r="E4" s="338"/>
      <c r="F4" s="129"/>
      <c r="G4" s="130"/>
      <c r="H4" s="129"/>
      <c r="I4" s="129"/>
    </row>
    <row r="5" spans="2:27" x14ac:dyDescent="0.35">
      <c r="B5" s="128" t="s">
        <v>157</v>
      </c>
      <c r="C5" s="337">
        <f>COUNTA(Partenaires!B10:F10)</f>
        <v>2</v>
      </c>
      <c r="D5" s="337"/>
      <c r="E5" s="337"/>
      <c r="F5" s="131"/>
      <c r="G5" s="129"/>
      <c r="H5" s="131"/>
      <c r="I5" s="131"/>
    </row>
    <row r="6" spans="2:27" x14ac:dyDescent="0.35">
      <c r="B6" s="128" t="s">
        <v>158</v>
      </c>
      <c r="C6" s="337" t="s">
        <v>224</v>
      </c>
      <c r="D6" s="337"/>
      <c r="E6" s="337"/>
      <c r="F6" s="129"/>
      <c r="G6" s="336" t="s">
        <v>205</v>
      </c>
      <c r="H6" s="336"/>
      <c r="I6" s="336"/>
      <c r="J6" s="336"/>
      <c r="K6" s="336"/>
    </row>
    <row r="7" spans="2:27" ht="15.5" x14ac:dyDescent="0.35">
      <c r="B7" s="128" t="s">
        <v>159</v>
      </c>
      <c r="C7" s="339" t="s">
        <v>225</v>
      </c>
      <c r="D7" s="340"/>
      <c r="E7" s="341"/>
      <c r="F7" s="132"/>
      <c r="G7" s="130"/>
      <c r="H7" s="129"/>
    </row>
    <row r="8" spans="2:27" ht="21" x14ac:dyDescent="0.5">
      <c r="B8" s="128" t="s">
        <v>160</v>
      </c>
      <c r="C8" s="337" t="s">
        <v>226</v>
      </c>
      <c r="D8" s="337"/>
      <c r="E8" s="337"/>
      <c r="F8" s="132"/>
      <c r="H8" s="129"/>
      <c r="M8" s="196" t="s">
        <v>200</v>
      </c>
      <c r="P8" s="94"/>
      <c r="Q8" s="94"/>
      <c r="R8" s="94"/>
    </row>
    <row r="9" spans="2:27" x14ac:dyDescent="0.35">
      <c r="B9" s="133"/>
      <c r="C9" s="133"/>
      <c r="D9" s="134" t="s">
        <v>161</v>
      </c>
      <c r="E9" s="134" t="s">
        <v>161</v>
      </c>
      <c r="F9" s="134" t="s">
        <v>161</v>
      </c>
      <c r="G9" s="134" t="s">
        <v>161</v>
      </c>
      <c r="H9" s="134" t="s">
        <v>161</v>
      </c>
      <c r="I9" s="134" t="s">
        <v>161</v>
      </c>
      <c r="P9" s="94"/>
      <c r="Q9" s="94"/>
      <c r="R9" s="94"/>
    </row>
    <row r="10" spans="2:27" x14ac:dyDescent="0.35">
      <c r="B10" s="135"/>
      <c r="C10" s="136"/>
      <c r="D10" s="137" t="s">
        <v>183</v>
      </c>
      <c r="E10" s="137"/>
      <c r="F10" s="137"/>
      <c r="G10" s="137"/>
      <c r="H10" s="137"/>
      <c r="I10" s="137"/>
      <c r="M10" s="138"/>
      <c r="N10" s="139" t="s">
        <v>133</v>
      </c>
      <c r="O10" s="138"/>
      <c r="P10" s="138"/>
      <c r="R10" s="94"/>
      <c r="T10" s="140">
        <f t="shared" ref="T10:T20" si="0">M10</f>
        <v>0</v>
      </c>
      <c r="U10" s="140" t="str">
        <f t="shared" ref="U10:U20" si="1">N10</f>
        <v>Étiquettes de colonnes</v>
      </c>
      <c r="V10" s="140">
        <f t="shared" ref="V10:V20" si="2">O10</f>
        <v>0</v>
      </c>
      <c r="W10" s="140">
        <f t="shared" ref="W10:W20" si="3">P10</f>
        <v>0</v>
      </c>
      <c r="X10" s="140">
        <f t="shared" ref="X10:X20" si="4">Q10</f>
        <v>0</v>
      </c>
      <c r="Y10" s="140">
        <f t="shared" ref="Y10:Y20" si="5">R10</f>
        <v>0</v>
      </c>
      <c r="Z10" s="140">
        <f t="shared" ref="Z10:Z20" si="6">S10</f>
        <v>0</v>
      </c>
      <c r="AA10" s="140"/>
    </row>
    <row r="11" spans="2:27" x14ac:dyDescent="0.35">
      <c r="B11" s="141"/>
      <c r="C11" s="142" t="s">
        <v>162</v>
      </c>
      <c r="D11" s="51" t="str">
        <f t="shared" ref="D11:I11" si="7">N11</f>
        <v>Partenaire 1</v>
      </c>
      <c r="E11" s="51" t="str">
        <f t="shared" si="7"/>
        <v>Partenaire 2</v>
      </c>
      <c r="F11" s="51" t="str">
        <f t="shared" si="7"/>
        <v>(vide)</v>
      </c>
      <c r="G11" s="51">
        <f t="shared" si="7"/>
        <v>0</v>
      </c>
      <c r="H11" s="51">
        <f t="shared" si="7"/>
        <v>0</v>
      </c>
      <c r="I11" s="51">
        <f t="shared" si="7"/>
        <v>0</v>
      </c>
      <c r="M11" s="139" t="s">
        <v>134</v>
      </c>
      <c r="N11" s="138" t="s">
        <v>218</v>
      </c>
      <c r="O11" s="138" t="s">
        <v>219</v>
      </c>
      <c r="P11" s="138" t="s">
        <v>182</v>
      </c>
      <c r="R11" s="94"/>
      <c r="T11" s="140" t="str">
        <f t="shared" si="0"/>
        <v>Valeurs</v>
      </c>
      <c r="U11" s="140" t="str">
        <f t="shared" si="1"/>
        <v>Partenaire 1</v>
      </c>
      <c r="V11" s="140" t="str">
        <f t="shared" si="2"/>
        <v>Partenaire 2</v>
      </c>
      <c r="W11" s="140" t="str">
        <f t="shared" si="3"/>
        <v>(vide)</v>
      </c>
      <c r="X11" s="140">
        <f t="shared" si="4"/>
        <v>0</v>
      </c>
      <c r="Y11" s="140">
        <f t="shared" si="5"/>
        <v>0</v>
      </c>
      <c r="Z11" s="140">
        <f t="shared" si="6"/>
        <v>0</v>
      </c>
      <c r="AA11" s="140"/>
    </row>
    <row r="12" spans="2:27" x14ac:dyDescent="0.35">
      <c r="B12" s="143" t="s">
        <v>163</v>
      </c>
      <c r="C12" s="144"/>
      <c r="D12" s="52">
        <f t="shared" ref="D12:G19" si="8">U12</f>
        <v>349400</v>
      </c>
      <c r="E12" s="52">
        <f t="shared" si="8"/>
        <v>180000</v>
      </c>
      <c r="F12" s="52">
        <f t="shared" si="8"/>
        <v>0</v>
      </c>
      <c r="G12" s="52">
        <f t="shared" si="8"/>
        <v>0</v>
      </c>
      <c r="H12" s="52">
        <f t="shared" ref="H12:H19" si="9">Y12</f>
        <v>0</v>
      </c>
      <c r="I12" s="52">
        <f t="shared" ref="I12:I19" si="10">Z12</f>
        <v>0</v>
      </c>
      <c r="M12" s="145" t="s">
        <v>149</v>
      </c>
      <c r="N12" s="138">
        <v>349400</v>
      </c>
      <c r="O12" s="138">
        <v>180000</v>
      </c>
      <c r="P12" s="138">
        <v>0</v>
      </c>
      <c r="R12" s="94"/>
      <c r="T12" s="140" t="str">
        <f t="shared" si="0"/>
        <v>Somme de Total des coûts</v>
      </c>
      <c r="U12" s="140">
        <f t="shared" si="1"/>
        <v>349400</v>
      </c>
      <c r="V12" s="140">
        <f t="shared" si="2"/>
        <v>180000</v>
      </c>
      <c r="W12" s="140">
        <f t="shared" si="3"/>
        <v>0</v>
      </c>
      <c r="X12" s="140">
        <f t="shared" si="4"/>
        <v>0</v>
      </c>
      <c r="Y12" s="140">
        <f t="shared" si="5"/>
        <v>0</v>
      </c>
      <c r="Z12" s="140">
        <f t="shared" si="6"/>
        <v>0</v>
      </c>
      <c r="AA12" s="140"/>
    </row>
    <row r="13" spans="2:27" x14ac:dyDescent="0.35">
      <c r="B13" s="143" t="s">
        <v>164</v>
      </c>
      <c r="C13" s="144"/>
      <c r="D13" s="52">
        <f t="shared" si="8"/>
        <v>337350</v>
      </c>
      <c r="E13" s="52">
        <f t="shared" si="8"/>
        <v>180000</v>
      </c>
      <c r="F13" s="52">
        <f t="shared" si="8"/>
        <v>0</v>
      </c>
      <c r="G13" s="52">
        <f t="shared" si="8"/>
        <v>0</v>
      </c>
      <c r="H13" s="52">
        <f t="shared" si="9"/>
        <v>0</v>
      </c>
      <c r="I13" s="52">
        <f t="shared" si="10"/>
        <v>0</v>
      </c>
      <c r="M13" s="145" t="s">
        <v>147</v>
      </c>
      <c r="N13" s="138">
        <v>337350</v>
      </c>
      <c r="O13" s="138">
        <v>180000</v>
      </c>
      <c r="P13" s="138">
        <v>0</v>
      </c>
      <c r="R13" s="94"/>
      <c r="T13" s="140" t="str">
        <f t="shared" si="0"/>
        <v>Somme de Total coûts éligibles et retenus</v>
      </c>
      <c r="U13" s="140">
        <f t="shared" si="1"/>
        <v>337350</v>
      </c>
      <c r="V13" s="140">
        <f t="shared" si="2"/>
        <v>180000</v>
      </c>
      <c r="W13" s="140">
        <f t="shared" si="3"/>
        <v>0</v>
      </c>
      <c r="X13" s="140">
        <f t="shared" si="4"/>
        <v>0</v>
      </c>
      <c r="Y13" s="140">
        <f t="shared" si="5"/>
        <v>0</v>
      </c>
      <c r="Z13" s="140">
        <f t="shared" si="6"/>
        <v>0</v>
      </c>
      <c r="AA13" s="140"/>
    </row>
    <row r="14" spans="2:27" x14ac:dyDescent="0.35">
      <c r="B14" s="143" t="s">
        <v>165</v>
      </c>
      <c r="C14" s="144"/>
      <c r="D14" s="52">
        <f t="shared" si="8"/>
        <v>224400</v>
      </c>
      <c r="E14" s="52">
        <f t="shared" si="8"/>
        <v>180000</v>
      </c>
      <c r="F14" s="52">
        <f t="shared" si="8"/>
        <v>0</v>
      </c>
      <c r="G14" s="52">
        <f t="shared" si="8"/>
        <v>0</v>
      </c>
      <c r="H14" s="52">
        <f t="shared" si="9"/>
        <v>0</v>
      </c>
      <c r="I14" s="52">
        <f t="shared" si="10"/>
        <v>0</v>
      </c>
      <c r="M14" s="145" t="s">
        <v>178</v>
      </c>
      <c r="N14" s="138">
        <v>224400</v>
      </c>
      <c r="O14" s="138">
        <v>180000</v>
      </c>
      <c r="P14" s="138">
        <v>0</v>
      </c>
      <c r="R14" s="94"/>
      <c r="T14" s="140" t="str">
        <f t="shared" si="0"/>
        <v>Somme de Total coûts RI</v>
      </c>
      <c r="U14" s="140">
        <f t="shared" si="1"/>
        <v>224400</v>
      </c>
      <c r="V14" s="140">
        <f t="shared" si="2"/>
        <v>180000</v>
      </c>
      <c r="W14" s="140">
        <f t="shared" si="3"/>
        <v>0</v>
      </c>
      <c r="X14" s="140">
        <f t="shared" si="4"/>
        <v>0</v>
      </c>
      <c r="Y14" s="140">
        <f t="shared" si="5"/>
        <v>0</v>
      </c>
      <c r="Z14" s="140">
        <f t="shared" si="6"/>
        <v>0</v>
      </c>
      <c r="AA14" s="140"/>
    </row>
    <row r="15" spans="2:27" x14ac:dyDescent="0.35">
      <c r="B15" s="143" t="s">
        <v>166</v>
      </c>
      <c r="C15" s="144"/>
      <c r="D15" s="52">
        <f t="shared" si="8"/>
        <v>13000</v>
      </c>
      <c r="E15" s="52">
        <f t="shared" si="8"/>
        <v>0</v>
      </c>
      <c r="F15" s="52">
        <f t="shared" si="8"/>
        <v>0</v>
      </c>
      <c r="G15" s="52">
        <f t="shared" si="8"/>
        <v>0</v>
      </c>
      <c r="H15" s="52">
        <f t="shared" si="9"/>
        <v>0</v>
      </c>
      <c r="I15" s="52">
        <f t="shared" si="10"/>
        <v>0</v>
      </c>
      <c r="M15" s="145" t="s">
        <v>179</v>
      </c>
      <c r="N15" s="138">
        <v>13000</v>
      </c>
      <c r="O15" s="138">
        <v>0</v>
      </c>
      <c r="P15" s="138">
        <v>0</v>
      </c>
      <c r="R15" s="94"/>
      <c r="T15" s="140" t="str">
        <f t="shared" si="0"/>
        <v>Somme de Total coûts DE</v>
      </c>
      <c r="U15" s="140">
        <f t="shared" si="1"/>
        <v>13000</v>
      </c>
      <c r="V15" s="140">
        <f t="shared" si="2"/>
        <v>0</v>
      </c>
      <c r="W15" s="140">
        <f t="shared" si="3"/>
        <v>0</v>
      </c>
      <c r="X15" s="140">
        <f t="shared" si="4"/>
        <v>0</v>
      </c>
      <c r="Y15" s="140">
        <f t="shared" si="5"/>
        <v>0</v>
      </c>
      <c r="Z15" s="140">
        <f t="shared" si="6"/>
        <v>0</v>
      </c>
      <c r="AA15" s="140"/>
    </row>
    <row r="16" spans="2:27" x14ac:dyDescent="0.35">
      <c r="B16" s="143" t="s">
        <v>167</v>
      </c>
      <c r="C16" s="144"/>
      <c r="D16" s="52">
        <f t="shared" si="8"/>
        <v>100000</v>
      </c>
      <c r="E16" s="52">
        <f t="shared" si="8"/>
        <v>0</v>
      </c>
      <c r="F16" s="52">
        <f t="shared" si="8"/>
        <v>0</v>
      </c>
      <c r="G16" s="52">
        <f t="shared" si="8"/>
        <v>0</v>
      </c>
      <c r="H16" s="52">
        <f t="shared" si="9"/>
        <v>0</v>
      </c>
      <c r="I16" s="52">
        <f t="shared" si="10"/>
        <v>0</v>
      </c>
      <c r="M16" s="145" t="s">
        <v>180</v>
      </c>
      <c r="N16" s="138">
        <v>100000</v>
      </c>
      <c r="O16" s="138">
        <v>0</v>
      </c>
      <c r="P16" s="138">
        <v>0</v>
      </c>
      <c r="R16" s="94"/>
      <c r="T16" s="140" t="str">
        <f t="shared" si="0"/>
        <v>Somme de Total coûts PE</v>
      </c>
      <c r="U16" s="140">
        <f t="shared" si="1"/>
        <v>100000</v>
      </c>
      <c r="V16" s="140">
        <f t="shared" si="2"/>
        <v>0</v>
      </c>
      <c r="W16" s="140">
        <f t="shared" si="3"/>
        <v>0</v>
      </c>
      <c r="X16" s="140">
        <f t="shared" si="4"/>
        <v>0</v>
      </c>
      <c r="Y16" s="140">
        <f t="shared" si="5"/>
        <v>0</v>
      </c>
      <c r="Z16" s="140">
        <f t="shared" si="6"/>
        <v>0</v>
      </c>
      <c r="AA16" s="140"/>
    </row>
    <row r="17" spans="2:27" x14ac:dyDescent="0.35">
      <c r="B17" s="143" t="s">
        <v>168</v>
      </c>
      <c r="C17" s="144"/>
      <c r="D17" s="52">
        <f t="shared" si="8"/>
        <v>99950</v>
      </c>
      <c r="E17" s="52">
        <f t="shared" si="8"/>
        <v>0</v>
      </c>
      <c r="F17" s="52">
        <f t="shared" si="8"/>
        <v>0</v>
      </c>
      <c r="G17" s="52">
        <f t="shared" si="8"/>
        <v>0</v>
      </c>
      <c r="H17" s="52">
        <f t="shared" si="9"/>
        <v>0</v>
      </c>
      <c r="I17" s="52">
        <f t="shared" si="10"/>
        <v>0</v>
      </c>
      <c r="M17" s="145" t="s">
        <v>181</v>
      </c>
      <c r="N17" s="138">
        <v>99950</v>
      </c>
      <c r="O17" s="138">
        <v>0</v>
      </c>
      <c r="P17" s="138">
        <v>0</v>
      </c>
      <c r="R17" s="94"/>
      <c r="T17" s="140" t="str">
        <f t="shared" si="0"/>
        <v>Somme de Total coûts PE admissibles</v>
      </c>
      <c r="U17" s="140">
        <f t="shared" si="1"/>
        <v>99950</v>
      </c>
      <c r="V17" s="140">
        <f t="shared" si="2"/>
        <v>0</v>
      </c>
      <c r="W17" s="140">
        <f t="shared" si="3"/>
        <v>0</v>
      </c>
      <c r="X17" s="140">
        <f t="shared" si="4"/>
        <v>0</v>
      </c>
      <c r="Y17" s="140">
        <f t="shared" si="5"/>
        <v>0</v>
      </c>
      <c r="Z17" s="140">
        <f t="shared" si="6"/>
        <v>0</v>
      </c>
      <c r="AA17" s="140"/>
    </row>
    <row r="18" spans="2:27" x14ac:dyDescent="0.35">
      <c r="B18" s="143" t="s">
        <v>169</v>
      </c>
      <c r="C18" s="144"/>
      <c r="D18" s="52">
        <f t="shared" si="8"/>
        <v>133066.875</v>
      </c>
      <c r="E18" s="52">
        <f t="shared" si="8"/>
        <v>67500</v>
      </c>
      <c r="F18" s="52">
        <f t="shared" si="8"/>
        <v>0</v>
      </c>
      <c r="G18" s="52">
        <f t="shared" si="8"/>
        <v>0</v>
      </c>
      <c r="H18" s="52">
        <f t="shared" si="9"/>
        <v>0</v>
      </c>
      <c r="I18" s="52">
        <f t="shared" si="10"/>
        <v>0</v>
      </c>
      <c r="M18" s="145" t="s">
        <v>151</v>
      </c>
      <c r="N18" s="138">
        <v>133066.875</v>
      </c>
      <c r="O18" s="138">
        <v>67500</v>
      </c>
      <c r="P18" s="138">
        <v>0</v>
      </c>
      <c r="R18" s="94"/>
      <c r="T18" s="140" t="str">
        <f t="shared" si="0"/>
        <v>Somme de Subventions</v>
      </c>
      <c r="U18" s="140">
        <f t="shared" si="1"/>
        <v>133066.875</v>
      </c>
      <c r="V18" s="140">
        <f t="shared" si="2"/>
        <v>67500</v>
      </c>
      <c r="W18" s="140">
        <f t="shared" si="3"/>
        <v>0</v>
      </c>
      <c r="X18" s="140">
        <f t="shared" si="4"/>
        <v>0</v>
      </c>
      <c r="Y18" s="140">
        <f t="shared" si="5"/>
        <v>0</v>
      </c>
      <c r="Z18" s="140">
        <f t="shared" si="6"/>
        <v>0</v>
      </c>
      <c r="AA18" s="140"/>
    </row>
    <row r="19" spans="2:27" x14ac:dyDescent="0.35">
      <c r="B19" s="143" t="s">
        <v>170</v>
      </c>
      <c r="C19" s="144"/>
      <c r="D19" s="52">
        <f t="shared" si="8"/>
        <v>44355.625</v>
      </c>
      <c r="E19" s="52">
        <f t="shared" si="8"/>
        <v>22500</v>
      </c>
      <c r="F19" s="52">
        <f t="shared" si="8"/>
        <v>0</v>
      </c>
      <c r="G19" s="52">
        <f t="shared" si="8"/>
        <v>0</v>
      </c>
      <c r="H19" s="52">
        <f t="shared" si="9"/>
        <v>0</v>
      </c>
      <c r="I19" s="52">
        <f t="shared" si="10"/>
        <v>0</v>
      </c>
      <c r="M19" s="145" t="s">
        <v>150</v>
      </c>
      <c r="N19" s="138">
        <v>44355.625</v>
      </c>
      <c r="O19" s="138">
        <v>22500</v>
      </c>
      <c r="P19" s="138">
        <v>0</v>
      </c>
      <c r="R19" s="94"/>
      <c r="T19" s="140" t="str">
        <f t="shared" si="0"/>
        <v>Somme de Avances remboursables</v>
      </c>
      <c r="U19" s="140">
        <f t="shared" si="1"/>
        <v>44355.625</v>
      </c>
      <c r="V19" s="140">
        <f t="shared" si="2"/>
        <v>22500</v>
      </c>
      <c r="W19" s="140">
        <f t="shared" si="3"/>
        <v>0</v>
      </c>
      <c r="X19" s="140">
        <f t="shared" si="4"/>
        <v>0</v>
      </c>
      <c r="Y19" s="140">
        <f t="shared" si="5"/>
        <v>0</v>
      </c>
      <c r="Z19" s="140">
        <f t="shared" si="6"/>
        <v>0</v>
      </c>
      <c r="AA19" s="140"/>
    </row>
    <row r="20" spans="2:27" x14ac:dyDescent="0.35">
      <c r="B20" s="143" t="s">
        <v>171</v>
      </c>
      <c r="C20" s="146"/>
      <c r="D20" s="147"/>
      <c r="E20" s="147"/>
      <c r="F20" s="147"/>
      <c r="G20" s="147"/>
      <c r="H20" s="147"/>
      <c r="I20" s="147"/>
      <c r="M20" s="145" t="s">
        <v>148</v>
      </c>
      <c r="N20" s="138">
        <v>177422.5</v>
      </c>
      <c r="O20" s="138">
        <v>90000</v>
      </c>
      <c r="P20" s="138">
        <v>0</v>
      </c>
      <c r="R20" s="94"/>
      <c r="T20" s="140" t="str">
        <f t="shared" si="0"/>
        <v>Somme de Aide totale</v>
      </c>
      <c r="U20" s="140">
        <f t="shared" si="1"/>
        <v>177422.5</v>
      </c>
      <c r="V20" s="140">
        <f t="shared" si="2"/>
        <v>90000</v>
      </c>
      <c r="W20" s="140">
        <f t="shared" si="3"/>
        <v>0</v>
      </c>
      <c r="X20" s="140">
        <f t="shared" si="4"/>
        <v>0</v>
      </c>
      <c r="Y20" s="140">
        <f t="shared" si="5"/>
        <v>0</v>
      </c>
      <c r="Z20" s="140">
        <f t="shared" si="6"/>
        <v>0</v>
      </c>
      <c r="AA20" s="140"/>
    </row>
    <row r="21" spans="2:27" x14ac:dyDescent="0.35">
      <c r="B21" s="143" t="s">
        <v>172</v>
      </c>
      <c r="C21" s="146" t="s">
        <v>161</v>
      </c>
      <c r="D21" s="146"/>
      <c r="E21" s="146"/>
      <c r="F21" s="146"/>
      <c r="G21" s="146"/>
      <c r="H21" s="146"/>
      <c r="I21" s="146"/>
    </row>
    <row r="22" spans="2:27" x14ac:dyDescent="0.35">
      <c r="B22" s="143" t="s">
        <v>173</v>
      </c>
      <c r="C22" s="146" t="s">
        <v>161</v>
      </c>
      <c r="D22" s="146"/>
      <c r="E22" s="146"/>
      <c r="F22" s="146"/>
      <c r="G22" s="146"/>
      <c r="H22" s="146"/>
      <c r="I22" s="146"/>
    </row>
    <row r="23" spans="2:27" x14ac:dyDescent="0.35">
      <c r="B23" s="143" t="s">
        <v>174</v>
      </c>
      <c r="C23" s="146" t="s">
        <v>161</v>
      </c>
      <c r="D23" s="146"/>
      <c r="E23" s="146"/>
      <c r="F23" s="146"/>
      <c r="G23" s="146"/>
      <c r="H23" s="146"/>
      <c r="I23" s="146"/>
    </row>
    <row r="24" spans="2:27" x14ac:dyDescent="0.35">
      <c r="B24" s="143" t="s">
        <v>175</v>
      </c>
      <c r="C24" s="146" t="s">
        <v>161</v>
      </c>
      <c r="D24" s="146"/>
      <c r="E24" s="146"/>
      <c r="F24" s="146"/>
      <c r="G24" s="146"/>
      <c r="H24" s="146"/>
      <c r="I24" s="146"/>
    </row>
    <row r="25" spans="2:27" x14ac:dyDescent="0.35">
      <c r="B25" s="143" t="s">
        <v>89</v>
      </c>
      <c r="C25" s="146"/>
      <c r="D25" s="69">
        <f>Partenaires!B15</f>
        <v>0.75</v>
      </c>
      <c r="E25" s="69">
        <f>Partenaires!C15</f>
        <v>0.65</v>
      </c>
      <c r="F25" s="69" t="str">
        <f>Partenaires!D15</f>
        <v>Erreur de paramétrage</v>
      </c>
      <c r="G25" s="69" t="str">
        <f>Partenaires!E15</f>
        <v>Erreur de paramétrage</v>
      </c>
      <c r="H25" s="69" t="str">
        <f>Partenaires!F15</f>
        <v>Erreur de paramétrage</v>
      </c>
      <c r="I25" s="69" t="str">
        <f>Partenaires!G15</f>
        <v>Les taux finaux sont fixés par l'équipe instructrice (sans dépasser les taux permis par l'Europe)</v>
      </c>
    </row>
    <row r="26" spans="2:27" x14ac:dyDescent="0.35">
      <c r="B26" s="143" t="s">
        <v>88</v>
      </c>
      <c r="C26" s="146"/>
      <c r="D26" s="69">
        <f>Partenaires!B16</f>
        <v>0.5</v>
      </c>
      <c r="E26" s="69">
        <f>Partenaires!C16</f>
        <v>0.4</v>
      </c>
      <c r="F26" s="69" t="str">
        <f>Partenaires!D16</f>
        <v>Erreur de paramétrage</v>
      </c>
      <c r="G26" s="69" t="str">
        <f>Partenaires!E16</f>
        <v>Erreur de paramétrage</v>
      </c>
      <c r="H26" s="69" t="str">
        <f>Partenaires!F16</f>
        <v>Erreur de paramétrage</v>
      </c>
      <c r="I26" s="69" t="str">
        <f>Partenaires!G16</f>
        <v>Les taux finaux sont fixés par l'équipe instructrice (sans dépasser les taux permis par l'Europe)</v>
      </c>
    </row>
    <row r="27" spans="2:27" x14ac:dyDescent="0.35">
      <c r="B27" s="143" t="s">
        <v>87</v>
      </c>
      <c r="C27" s="146"/>
      <c r="D27" s="69">
        <f>Partenaires!B18</f>
        <v>0.5</v>
      </c>
      <c r="E27" s="69">
        <f>Partenaires!C18</f>
        <v>0.4</v>
      </c>
      <c r="F27" s="69" t="str">
        <f>Partenaires!D18</f>
        <v>Erreur de paramétrage</v>
      </c>
      <c r="G27" s="69" t="str">
        <f>Partenaires!E18</f>
        <v>Erreur de paramétrage</v>
      </c>
      <c r="H27" s="69" t="str">
        <f>Partenaires!F18</f>
        <v>Erreur de paramétrage</v>
      </c>
      <c r="I27" s="69" t="str">
        <f>Partenaires!G18</f>
        <v>Les taux finaux sont fixés par l'équipe instructrice (sans dépasser les taux permis par l'Europe)</v>
      </c>
    </row>
    <row r="28" spans="2:27" x14ac:dyDescent="0.35">
      <c r="B28" s="143" t="s">
        <v>176</v>
      </c>
      <c r="C28" s="146"/>
      <c r="D28" s="148"/>
      <c r="E28" s="148"/>
      <c r="F28" s="148"/>
      <c r="G28" s="148"/>
      <c r="H28" s="148"/>
      <c r="I28" s="148"/>
    </row>
    <row r="29" spans="2:27" x14ac:dyDescent="0.35">
      <c r="B29" s="143" t="s">
        <v>177</v>
      </c>
      <c r="C29" s="146"/>
      <c r="D29" s="148"/>
      <c r="E29" s="148"/>
      <c r="F29" s="148"/>
      <c r="G29" s="148"/>
      <c r="H29" s="148"/>
      <c r="I29" s="148"/>
    </row>
    <row r="30" spans="2:27" ht="21" x14ac:dyDescent="0.5">
      <c r="M30" s="196" t="s">
        <v>200</v>
      </c>
    </row>
    <row r="32" spans="2:27" x14ac:dyDescent="0.35">
      <c r="M32" s="300" t="s">
        <v>188</v>
      </c>
      <c r="N32" s="301" t="s">
        <v>133</v>
      </c>
      <c r="O32" s="302"/>
      <c r="P32" s="303"/>
      <c r="Q32"/>
    </row>
    <row r="33" spans="2:23" x14ac:dyDescent="0.35">
      <c r="B33" s="149" t="s">
        <v>201</v>
      </c>
      <c r="C33" s="150" t="s">
        <v>202</v>
      </c>
      <c r="D33" s="151" t="str">
        <f>N44</f>
        <v>SEM01</v>
      </c>
      <c r="E33" s="151" t="str">
        <f t="shared" ref="E33:K33" si="11">O44</f>
        <v>SEM02</v>
      </c>
      <c r="F33" s="151" t="str">
        <f t="shared" si="11"/>
        <v>(vide)</v>
      </c>
      <c r="G33" s="151">
        <f t="shared" si="11"/>
        <v>0</v>
      </c>
      <c r="H33" s="151">
        <f t="shared" si="11"/>
        <v>0</v>
      </c>
      <c r="I33" s="151">
        <f t="shared" si="11"/>
        <v>0</v>
      </c>
      <c r="J33" s="151">
        <f t="shared" si="11"/>
        <v>0</v>
      </c>
      <c r="K33" s="151">
        <f t="shared" si="11"/>
        <v>0</v>
      </c>
      <c r="M33" s="152" t="s">
        <v>144</v>
      </c>
      <c r="N33" s="153" t="s">
        <v>130</v>
      </c>
      <c r="O33" s="153" t="s">
        <v>197</v>
      </c>
      <c r="P33" s="154" t="s">
        <v>182</v>
      </c>
      <c r="Q33"/>
    </row>
    <row r="34" spans="2:23" x14ac:dyDescent="0.35">
      <c r="B34" s="155" t="str">
        <f>M45</f>
        <v>Partenaire 1</v>
      </c>
      <c r="C34" s="156"/>
      <c r="D34" s="56">
        <f>N45</f>
        <v>95980</v>
      </c>
      <c r="E34" s="56">
        <f t="shared" ref="E34:F34" si="12">O45</f>
        <v>114464</v>
      </c>
      <c r="F34" s="56">
        <f t="shared" si="12"/>
        <v>0</v>
      </c>
      <c r="G34" s="56">
        <f>Q45</f>
        <v>0</v>
      </c>
      <c r="H34" s="56">
        <f>R45</f>
        <v>0</v>
      </c>
      <c r="I34" s="56">
        <f t="shared" ref="I34:I39" si="13">S45</f>
        <v>0</v>
      </c>
      <c r="J34" s="56">
        <f t="shared" ref="J34:J39" si="14">T45</f>
        <v>0</v>
      </c>
      <c r="K34" s="56"/>
      <c r="M34" s="304" t="s">
        <v>218</v>
      </c>
      <c r="N34" s="305">
        <v>95980</v>
      </c>
      <c r="O34" s="302">
        <v>114464</v>
      </c>
      <c r="P34" s="303"/>
      <c r="Q34"/>
    </row>
    <row r="35" spans="2:23" x14ac:dyDescent="0.35">
      <c r="B35" s="155" t="str">
        <f t="shared" ref="B35:B39" si="15">M46</f>
        <v>(vide)</v>
      </c>
      <c r="C35" s="156"/>
      <c r="D35" s="56">
        <f t="shared" ref="D35:D36" si="16">N46</f>
        <v>0</v>
      </c>
      <c r="E35" s="56">
        <f t="shared" ref="E35:E37" si="17">O46</f>
        <v>0</v>
      </c>
      <c r="F35" s="56">
        <f t="shared" ref="F35:F37" si="18">P46</f>
        <v>0</v>
      </c>
      <c r="G35" s="56">
        <f t="shared" ref="G35:H36" si="19">Q46</f>
        <v>0</v>
      </c>
      <c r="H35" s="56">
        <f t="shared" si="19"/>
        <v>0</v>
      </c>
      <c r="I35" s="56">
        <f t="shared" si="13"/>
        <v>0</v>
      </c>
      <c r="J35" s="56">
        <f t="shared" si="14"/>
        <v>0</v>
      </c>
      <c r="K35" s="56"/>
      <c r="M35" s="157" t="s">
        <v>182</v>
      </c>
      <c r="N35" s="158"/>
      <c r="O35" s="159"/>
      <c r="P35" s="160">
        <v>0</v>
      </c>
      <c r="Q35"/>
    </row>
    <row r="36" spans="2:23" x14ac:dyDescent="0.35">
      <c r="B36" s="155">
        <f t="shared" si="15"/>
        <v>0</v>
      </c>
      <c r="C36" s="156"/>
      <c r="D36" s="56">
        <f t="shared" si="16"/>
        <v>0</v>
      </c>
      <c r="E36" s="56">
        <f t="shared" si="17"/>
        <v>0</v>
      </c>
      <c r="F36" s="56">
        <f t="shared" si="18"/>
        <v>0</v>
      </c>
      <c r="G36" s="56">
        <f t="shared" si="19"/>
        <v>0</v>
      </c>
      <c r="H36" s="56">
        <f t="shared" si="19"/>
        <v>0</v>
      </c>
      <c r="I36" s="56">
        <f t="shared" si="13"/>
        <v>0</v>
      </c>
      <c r="J36" s="56">
        <f t="shared" si="14"/>
        <v>0</v>
      </c>
      <c r="K36" s="56"/>
      <c r="M36"/>
      <c r="N36"/>
      <c r="O36"/>
      <c r="P36"/>
      <c r="Q36"/>
    </row>
    <row r="37" spans="2:23" x14ac:dyDescent="0.35">
      <c r="B37" s="155">
        <f t="shared" si="15"/>
        <v>0</v>
      </c>
      <c r="C37" s="156"/>
      <c r="D37" s="56">
        <f>N48</f>
        <v>0</v>
      </c>
      <c r="E37" s="56">
        <f t="shared" si="17"/>
        <v>0</v>
      </c>
      <c r="F37" s="56">
        <f t="shared" si="18"/>
        <v>0</v>
      </c>
      <c r="G37" s="56">
        <f>Q48</f>
        <v>0</v>
      </c>
      <c r="H37" s="56">
        <f>R48</f>
        <v>0</v>
      </c>
      <c r="I37" s="56">
        <f t="shared" si="13"/>
        <v>0</v>
      </c>
      <c r="J37" s="56">
        <f t="shared" si="14"/>
        <v>0</v>
      </c>
      <c r="K37" s="56"/>
      <c r="M37" s="76"/>
      <c r="N37" s="76"/>
      <c r="O37" s="76"/>
    </row>
    <row r="38" spans="2:23" x14ac:dyDescent="0.35">
      <c r="B38" s="155">
        <f>M49</f>
        <v>0</v>
      </c>
      <c r="C38" s="156"/>
      <c r="D38" s="56"/>
      <c r="E38" s="56"/>
      <c r="F38" s="56"/>
      <c r="G38" s="56">
        <f t="shared" ref="G38:H39" si="20">Q49</f>
        <v>0</v>
      </c>
      <c r="H38" s="56">
        <f t="shared" si="20"/>
        <v>0</v>
      </c>
      <c r="I38" s="56">
        <f t="shared" si="13"/>
        <v>0</v>
      </c>
      <c r="J38" s="56">
        <f t="shared" si="14"/>
        <v>0</v>
      </c>
      <c r="K38" s="56"/>
      <c r="M38" s="76"/>
      <c r="N38" s="76"/>
      <c r="O38" s="76"/>
    </row>
    <row r="39" spans="2:23" x14ac:dyDescent="0.35">
      <c r="B39" s="155">
        <f t="shared" si="15"/>
        <v>0</v>
      </c>
      <c r="C39" s="156"/>
      <c r="D39" s="56">
        <f t="shared" ref="D39" si="21">N50</f>
        <v>0</v>
      </c>
      <c r="E39" s="56">
        <f t="shared" ref="E39" si="22">O50</f>
        <v>0</v>
      </c>
      <c r="F39" s="56">
        <f t="shared" ref="F39" si="23">P50</f>
        <v>0</v>
      </c>
      <c r="G39" s="56">
        <f t="shared" si="20"/>
        <v>0</v>
      </c>
      <c r="H39" s="56">
        <f t="shared" si="20"/>
        <v>0</v>
      </c>
      <c r="I39" s="56">
        <f t="shared" si="13"/>
        <v>0</v>
      </c>
      <c r="J39" s="56">
        <f t="shared" si="14"/>
        <v>0</v>
      </c>
      <c r="K39" s="56"/>
    </row>
    <row r="44" spans="2:23" x14ac:dyDescent="0.35">
      <c r="M44" s="161" t="str">
        <f>M33</f>
        <v>Étiquettes de lignes</v>
      </c>
      <c r="N44" s="161" t="str">
        <f t="shared" ref="N44:U44" si="24">N33</f>
        <v>SEM01</v>
      </c>
      <c r="O44" s="161" t="str">
        <f t="shared" si="24"/>
        <v>SEM02</v>
      </c>
      <c r="P44" s="161" t="str">
        <f t="shared" si="24"/>
        <v>(vide)</v>
      </c>
      <c r="Q44" s="161">
        <f t="shared" si="24"/>
        <v>0</v>
      </c>
      <c r="R44" s="161">
        <f t="shared" si="24"/>
        <v>0</v>
      </c>
      <c r="S44" s="161">
        <f t="shared" si="24"/>
        <v>0</v>
      </c>
      <c r="T44" s="161">
        <f t="shared" si="24"/>
        <v>0</v>
      </c>
      <c r="U44" s="161">
        <f t="shared" si="24"/>
        <v>0</v>
      </c>
      <c r="V44" s="140"/>
      <c r="W44" s="140"/>
    </row>
    <row r="45" spans="2:23" x14ac:dyDescent="0.35">
      <c r="M45" s="161" t="str">
        <f t="shared" ref="M45:U45" si="25">M34</f>
        <v>Partenaire 1</v>
      </c>
      <c r="N45" s="161">
        <f t="shared" si="25"/>
        <v>95980</v>
      </c>
      <c r="O45" s="161">
        <f t="shared" si="25"/>
        <v>114464</v>
      </c>
      <c r="P45" s="161">
        <f t="shared" si="25"/>
        <v>0</v>
      </c>
      <c r="Q45" s="161">
        <f t="shared" si="25"/>
        <v>0</v>
      </c>
      <c r="R45" s="161">
        <f t="shared" si="25"/>
        <v>0</v>
      </c>
      <c r="S45" s="161">
        <f t="shared" si="25"/>
        <v>0</v>
      </c>
      <c r="T45" s="161">
        <f t="shared" si="25"/>
        <v>0</v>
      </c>
      <c r="U45" s="161">
        <f t="shared" si="25"/>
        <v>0</v>
      </c>
      <c r="V45" s="140"/>
      <c r="W45" s="140"/>
    </row>
    <row r="46" spans="2:23" x14ac:dyDescent="0.35">
      <c r="M46" s="161" t="str">
        <f t="shared" ref="M46:U46" si="26">M35</f>
        <v>(vide)</v>
      </c>
      <c r="N46" s="161">
        <f t="shared" si="26"/>
        <v>0</v>
      </c>
      <c r="O46" s="161">
        <f t="shared" si="26"/>
        <v>0</v>
      </c>
      <c r="P46" s="161">
        <f t="shared" si="26"/>
        <v>0</v>
      </c>
      <c r="Q46" s="161">
        <f t="shared" si="26"/>
        <v>0</v>
      </c>
      <c r="R46" s="161">
        <f t="shared" si="26"/>
        <v>0</v>
      </c>
      <c r="S46" s="161">
        <f t="shared" si="26"/>
        <v>0</v>
      </c>
      <c r="T46" s="161">
        <f t="shared" si="26"/>
        <v>0</v>
      </c>
      <c r="U46" s="161">
        <f t="shared" si="26"/>
        <v>0</v>
      </c>
      <c r="V46" s="140"/>
      <c r="W46" s="140"/>
    </row>
    <row r="47" spans="2:23" x14ac:dyDescent="0.35">
      <c r="M47" s="161">
        <f t="shared" ref="M47:U47" si="27">M36</f>
        <v>0</v>
      </c>
      <c r="N47" s="161">
        <f t="shared" si="27"/>
        <v>0</v>
      </c>
      <c r="O47" s="161">
        <f t="shared" si="27"/>
        <v>0</v>
      </c>
      <c r="P47" s="161">
        <f t="shared" si="27"/>
        <v>0</v>
      </c>
      <c r="Q47" s="161">
        <f t="shared" si="27"/>
        <v>0</v>
      </c>
      <c r="R47" s="161">
        <f t="shared" si="27"/>
        <v>0</v>
      </c>
      <c r="S47" s="161">
        <f t="shared" si="27"/>
        <v>0</v>
      </c>
      <c r="T47" s="161">
        <f t="shared" si="27"/>
        <v>0</v>
      </c>
      <c r="U47" s="161">
        <f t="shared" si="27"/>
        <v>0</v>
      </c>
      <c r="V47" s="140"/>
      <c r="W47" s="140"/>
    </row>
    <row r="48" spans="2:23" x14ac:dyDescent="0.35">
      <c r="M48" s="161">
        <f t="shared" ref="M48:U48" si="28">M37</f>
        <v>0</v>
      </c>
      <c r="N48" s="161">
        <f t="shared" si="28"/>
        <v>0</v>
      </c>
      <c r="O48" s="161">
        <f t="shared" si="28"/>
        <v>0</v>
      </c>
      <c r="P48" s="161">
        <f t="shared" si="28"/>
        <v>0</v>
      </c>
      <c r="Q48" s="161">
        <f t="shared" si="28"/>
        <v>0</v>
      </c>
      <c r="R48" s="161">
        <f t="shared" si="28"/>
        <v>0</v>
      </c>
      <c r="S48" s="161">
        <f t="shared" si="28"/>
        <v>0</v>
      </c>
      <c r="T48" s="161">
        <f t="shared" si="28"/>
        <v>0</v>
      </c>
      <c r="U48" s="161">
        <f t="shared" si="28"/>
        <v>0</v>
      </c>
      <c r="V48" s="140"/>
      <c r="W48" s="140"/>
    </row>
    <row r="49" spans="13:23" x14ac:dyDescent="0.35">
      <c r="M49" s="161">
        <f t="shared" ref="M49:U49" si="29">M38</f>
        <v>0</v>
      </c>
      <c r="N49" s="161">
        <f t="shared" si="29"/>
        <v>0</v>
      </c>
      <c r="O49" s="161">
        <f t="shared" si="29"/>
        <v>0</v>
      </c>
      <c r="P49" s="161">
        <f t="shared" si="29"/>
        <v>0</v>
      </c>
      <c r="Q49" s="161">
        <f t="shared" si="29"/>
        <v>0</v>
      </c>
      <c r="R49" s="161">
        <f t="shared" si="29"/>
        <v>0</v>
      </c>
      <c r="S49" s="161">
        <f t="shared" si="29"/>
        <v>0</v>
      </c>
      <c r="T49" s="161">
        <f t="shared" si="29"/>
        <v>0</v>
      </c>
      <c r="U49" s="161">
        <f t="shared" si="29"/>
        <v>0</v>
      </c>
      <c r="V49" s="140"/>
      <c r="W49" s="140"/>
    </row>
    <row r="50" spans="13:23" x14ac:dyDescent="0.35">
      <c r="M50" s="161">
        <f t="shared" ref="M50:U50" si="30">M39</f>
        <v>0</v>
      </c>
      <c r="N50" s="161">
        <f t="shared" si="30"/>
        <v>0</v>
      </c>
      <c r="O50" s="161">
        <f t="shared" si="30"/>
        <v>0</v>
      </c>
      <c r="P50" s="161">
        <f t="shared" si="30"/>
        <v>0</v>
      </c>
      <c r="Q50" s="161">
        <f t="shared" si="30"/>
        <v>0</v>
      </c>
      <c r="R50" s="161">
        <f t="shared" si="30"/>
        <v>0</v>
      </c>
      <c r="S50" s="161">
        <f t="shared" si="30"/>
        <v>0</v>
      </c>
      <c r="T50" s="161">
        <f t="shared" si="30"/>
        <v>0</v>
      </c>
      <c r="U50" s="161">
        <f t="shared" si="30"/>
        <v>0</v>
      </c>
      <c r="V50" s="140"/>
      <c r="W50" s="140"/>
    </row>
    <row r="51" spans="13:23" x14ac:dyDescent="0.35">
      <c r="M51" s="161">
        <f>M40</f>
        <v>0</v>
      </c>
      <c r="N51" s="161">
        <f t="shared" ref="N51:U51" si="31">N40</f>
        <v>0</v>
      </c>
      <c r="O51" s="161">
        <f t="shared" si="31"/>
        <v>0</v>
      </c>
      <c r="P51" s="161">
        <f t="shared" si="31"/>
        <v>0</v>
      </c>
      <c r="Q51" s="161">
        <f t="shared" si="31"/>
        <v>0</v>
      </c>
      <c r="R51" s="161">
        <f t="shared" si="31"/>
        <v>0</v>
      </c>
      <c r="S51" s="161">
        <f t="shared" si="31"/>
        <v>0</v>
      </c>
      <c r="T51" s="161">
        <f t="shared" si="31"/>
        <v>0</v>
      </c>
      <c r="U51" s="161">
        <f t="shared" si="31"/>
        <v>0</v>
      </c>
      <c r="V51" s="140"/>
      <c r="W51" s="140"/>
    </row>
    <row r="52" spans="13:23" x14ac:dyDescent="0.35">
      <c r="M52" s="161">
        <f t="shared" ref="M52:U52" si="32">M41</f>
        <v>0</v>
      </c>
      <c r="N52" s="161">
        <f t="shared" si="32"/>
        <v>0</v>
      </c>
      <c r="O52" s="161">
        <f t="shared" si="32"/>
        <v>0</v>
      </c>
      <c r="P52" s="161">
        <f t="shared" si="32"/>
        <v>0</v>
      </c>
      <c r="Q52" s="161">
        <f t="shared" si="32"/>
        <v>0</v>
      </c>
      <c r="R52" s="161">
        <f t="shared" si="32"/>
        <v>0</v>
      </c>
      <c r="S52" s="161">
        <f t="shared" si="32"/>
        <v>0</v>
      </c>
      <c r="T52" s="161">
        <f t="shared" si="32"/>
        <v>0</v>
      </c>
      <c r="U52" s="161">
        <f t="shared" si="32"/>
        <v>0</v>
      </c>
      <c r="V52" s="140"/>
      <c r="W52" s="140"/>
    </row>
    <row r="53" spans="13:23" x14ac:dyDescent="0.35">
      <c r="M53" s="161">
        <f t="shared" ref="M53:U53" si="33">M42</f>
        <v>0</v>
      </c>
      <c r="N53" s="161">
        <f t="shared" si="33"/>
        <v>0</v>
      </c>
      <c r="O53" s="161">
        <f t="shared" si="33"/>
        <v>0</v>
      </c>
      <c r="P53" s="161">
        <f t="shared" si="33"/>
        <v>0</v>
      </c>
      <c r="Q53" s="161">
        <f t="shared" si="33"/>
        <v>0</v>
      </c>
      <c r="R53" s="161">
        <f t="shared" si="33"/>
        <v>0</v>
      </c>
      <c r="S53" s="161">
        <f t="shared" si="33"/>
        <v>0</v>
      </c>
      <c r="T53" s="161">
        <f t="shared" si="33"/>
        <v>0</v>
      </c>
      <c r="U53" s="161">
        <f t="shared" si="33"/>
        <v>0</v>
      </c>
      <c r="V53" s="140"/>
      <c r="W53" s="140"/>
    </row>
    <row r="54" spans="13:23" x14ac:dyDescent="0.35">
      <c r="M54" s="161">
        <f>M43</f>
        <v>0</v>
      </c>
      <c r="N54" s="161">
        <f t="shared" ref="N54:U54" si="34">N43</f>
        <v>0</v>
      </c>
      <c r="O54" s="161">
        <f t="shared" si="34"/>
        <v>0</v>
      </c>
      <c r="P54" s="161">
        <f t="shared" si="34"/>
        <v>0</v>
      </c>
      <c r="Q54" s="161">
        <f t="shared" si="34"/>
        <v>0</v>
      </c>
      <c r="R54" s="161">
        <f t="shared" si="34"/>
        <v>0</v>
      </c>
      <c r="S54" s="161">
        <f t="shared" si="34"/>
        <v>0</v>
      </c>
      <c r="T54" s="161">
        <f t="shared" si="34"/>
        <v>0</v>
      </c>
      <c r="U54" s="161">
        <f t="shared" si="34"/>
        <v>0</v>
      </c>
      <c r="V54" s="140"/>
      <c r="W54" s="140"/>
    </row>
    <row r="55" spans="13:23" x14ac:dyDescent="0.35">
      <c r="M55" s="161"/>
      <c r="N55" s="161"/>
      <c r="O55" s="161"/>
      <c r="P55" s="161"/>
      <c r="Q55" s="161"/>
      <c r="R55" s="161"/>
      <c r="S55" s="161"/>
      <c r="T55" s="161"/>
      <c r="U55" s="161"/>
      <c r="V55" s="140"/>
      <c r="W55" s="140"/>
    </row>
    <row r="56" spans="13:23" x14ac:dyDescent="0.35">
      <c r="M56" s="161"/>
      <c r="N56" s="161"/>
      <c r="O56" s="161"/>
      <c r="P56" s="140"/>
      <c r="Q56" s="140"/>
      <c r="R56" s="140"/>
      <c r="S56" s="140"/>
      <c r="T56" s="140"/>
      <c r="U56" s="140"/>
      <c r="V56" s="140"/>
      <c r="W56" s="140"/>
    </row>
    <row r="57" spans="13:23" x14ac:dyDescent="0.35">
      <c r="M57" s="161"/>
      <c r="N57" s="161"/>
      <c r="O57" s="161"/>
      <c r="P57" s="140"/>
      <c r="Q57" s="140"/>
      <c r="R57" s="140"/>
      <c r="S57" s="140"/>
      <c r="T57" s="140"/>
      <c r="U57" s="140"/>
      <c r="V57" s="140"/>
      <c r="W57" s="140"/>
    </row>
  </sheetData>
  <mergeCells count="8">
    <mergeCell ref="G6:K6"/>
    <mergeCell ref="C8:E8"/>
    <mergeCell ref="C2:E2"/>
    <mergeCell ref="C3:E3"/>
    <mergeCell ref="C4:E4"/>
    <mergeCell ref="C5:E5"/>
    <mergeCell ref="C6:E6"/>
    <mergeCell ref="C7:E7"/>
  </mergeCells>
  <conditionalFormatting sqref="D28:I29">
    <cfRule type="cellIs" dxfId="7" priority="18" operator="equal">
      <formula>0</formula>
    </cfRule>
  </conditionalFormatting>
  <conditionalFormatting sqref="C34:C39">
    <cfRule type="cellIs" dxfId="6" priority="12" operator="equal">
      <formula>0</formula>
    </cfRule>
  </conditionalFormatting>
  <conditionalFormatting sqref="C33 B33:B39">
    <cfRule type="cellIs" dxfId="5" priority="14" operator="equal">
      <formula>0</formula>
    </cfRule>
  </conditionalFormatting>
  <conditionalFormatting sqref="C33:C39">
    <cfRule type="expression" dxfId="4" priority="11">
      <formula>C$12&lt;&gt;0</formula>
    </cfRule>
  </conditionalFormatting>
  <conditionalFormatting sqref="D34:F39 D33:K33">
    <cfRule type="expression" dxfId="3" priority="9" stopIfTrue="1">
      <formula>AND(D$11=0,D$23=0)</formula>
    </cfRule>
    <cfRule type="expression" dxfId="2" priority="15">
      <formula>D$11&lt;&gt;0</formula>
    </cfRule>
  </conditionalFormatting>
  <conditionalFormatting sqref="D33:K33">
    <cfRule type="cellIs" dxfId="1" priority="13" operator="equal">
      <formula>0</formula>
    </cfRule>
  </conditionalFormatting>
  <conditionalFormatting sqref="D33:K33">
    <cfRule type="expression" dxfId="0" priority="10">
      <formula>D$12&lt;&gt;0</formula>
    </cfRule>
  </conditionalFormatting>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theme="0" tint="-0.14999847407452621"/>
  </sheetPr>
  <dimension ref="B1:C13"/>
  <sheetViews>
    <sheetView zoomScale="140" zoomScaleNormal="140" workbookViewId="0">
      <selection activeCell="B2" sqref="B2"/>
    </sheetView>
  </sheetViews>
  <sheetFormatPr baseColWidth="10" defaultRowHeight="14.5" x14ac:dyDescent="0.35"/>
  <cols>
    <col min="2" max="2" width="62.54296875" customWidth="1"/>
    <col min="3" max="3" width="27.81640625" customWidth="1"/>
  </cols>
  <sheetData>
    <row r="1" spans="2:3" ht="15" thickBot="1" x14ac:dyDescent="0.4">
      <c r="B1" s="67" t="s">
        <v>259</v>
      </c>
      <c r="C1" s="68" t="s">
        <v>120</v>
      </c>
    </row>
    <row r="2" spans="2:3" x14ac:dyDescent="0.35">
      <c r="B2" s="65" t="s">
        <v>227</v>
      </c>
      <c r="C2" s="60" t="s">
        <v>229</v>
      </c>
    </row>
    <row r="3" spans="2:3" x14ac:dyDescent="0.35">
      <c r="B3" s="64" t="s">
        <v>232</v>
      </c>
      <c r="C3" s="62"/>
    </row>
    <row r="4" spans="2:3" x14ac:dyDescent="0.35">
      <c r="B4" s="61" t="s">
        <v>237</v>
      </c>
      <c r="C4" s="62" t="s">
        <v>238</v>
      </c>
    </row>
    <row r="5" spans="2:3" x14ac:dyDescent="0.35">
      <c r="B5" s="61" t="s">
        <v>239</v>
      </c>
      <c r="C5" s="62" t="s">
        <v>240</v>
      </c>
    </row>
    <row r="6" spans="2:3" x14ac:dyDescent="0.35">
      <c r="B6" s="64" t="s">
        <v>233</v>
      </c>
      <c r="C6" s="62" t="s">
        <v>228</v>
      </c>
    </row>
    <row r="7" spans="2:3" x14ac:dyDescent="0.35">
      <c r="B7" s="64" t="s">
        <v>234</v>
      </c>
      <c r="C7" s="62" t="s">
        <v>230</v>
      </c>
    </row>
    <row r="8" spans="2:3" x14ac:dyDescent="0.35">
      <c r="B8" s="64" t="s">
        <v>235</v>
      </c>
      <c r="C8" s="62" t="s">
        <v>229</v>
      </c>
    </row>
    <row r="9" spans="2:3" x14ac:dyDescent="0.35">
      <c r="B9" s="64" t="s">
        <v>21</v>
      </c>
      <c r="C9" s="62" t="s">
        <v>231</v>
      </c>
    </row>
    <row r="10" spans="2:3" x14ac:dyDescent="0.35">
      <c r="B10" s="64" t="s">
        <v>236</v>
      </c>
      <c r="C10" s="62" t="s">
        <v>252</v>
      </c>
    </row>
    <row r="11" spans="2:3" x14ac:dyDescent="0.35">
      <c r="B11" s="64" t="s">
        <v>242</v>
      </c>
      <c r="C11" s="62" t="s">
        <v>241</v>
      </c>
    </row>
    <row r="12" spans="2:3" x14ac:dyDescent="0.35">
      <c r="B12" s="64" t="s">
        <v>243</v>
      </c>
      <c r="C12" s="62" t="s">
        <v>244</v>
      </c>
    </row>
    <row r="13" spans="2:3" ht="15" thickBot="1" x14ac:dyDescent="0.4">
      <c r="B13" s="66" t="s">
        <v>245</v>
      </c>
      <c r="C13" s="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Explications</vt:lpstr>
      <vt:lpstr>Definitions</vt:lpstr>
      <vt:lpstr>Partenaires</vt:lpstr>
      <vt:lpstr>Structure projet </vt:lpstr>
      <vt:lpstr>Amortissements</vt:lpstr>
      <vt:lpstr>Description des coûts</vt:lpstr>
      <vt:lpstr>BdD</vt:lpstr>
      <vt:lpstr>Syntheses AIDES</vt:lpstr>
      <vt:lpstr>Synthèse par LOT</vt:lpstr>
      <vt:lpstr>Export ICARE</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2022-07-19T12:41:51Z</dcterms:modified>
</cp:coreProperties>
</file>