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ademecloud-my.sharepoint.com/personal/pierre_boillot_ademe_fr/Documents/Bureau/ESPR 2/CDC/VERSION DEFINITIVE/version bunkerisée/ESPR 2024 VOLET 2 VERSION BUNKER/"/>
    </mc:Choice>
  </mc:AlternateContent>
  <xr:revisionPtr revIDLastSave="0" documentId="8_{2EBE6DB3-1D3B-4B30-AAA3-C51251EA6482}" xr6:coauthVersionLast="47" xr6:coauthVersionMax="47" xr10:uidLastSave="{00000000-0000-0000-0000-000000000000}"/>
  <bookViews>
    <workbookView xWindow="28680" yWindow="-120" windowWidth="29040" windowHeight="15840" activeTab="1" xr2:uid="{B77AC04E-010A-4256-B8D1-5EAACD933192}"/>
  </bookViews>
  <sheets>
    <sheet name="Accueil" sheetId="12" r:id="rId1"/>
    <sheet name="Mes_investissements" sheetId="1" r:id="rId2"/>
    <sheet name="Plafonds_dépenses_éligibles" sheetId="9" r:id="rId3"/>
    <sheet name="Matrices aides" sheetId="8" state="hidden" r:id="rId4"/>
    <sheet name="Seuils_CaR_et_PSS" sheetId="10" state="hidden" r:id="rId5"/>
    <sheet name="Listes" sheetId="6" state="hidden" r:id="rId6"/>
  </sheets>
  <externalReferences>
    <externalReference r:id="rId7"/>
  </externalReferences>
  <definedNames>
    <definedName name="Categorie_1" localSheetId="4">Seuils_CaR_et_PSS!$C$7:$C$15</definedName>
    <definedName name="Categorie_1">Plafonds_dépenses_éligibles!$C$3:$C$11</definedName>
    <definedName name="Categorie_2">Plafonds_dépenses_éligibles!$C$12:$C$14</definedName>
    <definedName name="Categorie_3">Plafonds_dépenses_éligibles!$C$15:$C$23</definedName>
    <definedName name="Categorie_4">Plafonds_dépenses_éligibles!$C$24:$C$28</definedName>
    <definedName name="Categorie_5">Plafonds_dépenses_éligibles!$C$30:$C$35</definedName>
    <definedName name="Catégories">Listes!$H$3:$H$7</definedName>
    <definedName name="Départements">Listes!$B$3:$B$103</definedName>
    <definedName name="num_contrat">'[1]2. AF'!$C$9</definedName>
    <definedName name="Occasion_?">Listes!$J$3:$J$5</definedName>
    <definedName name="Oui_?">Listes!$N$3:$N$4</definedName>
    <definedName name="Roues_?">Listes!$L$3:$L$4</definedName>
    <definedName name="Type_d_investissement" localSheetId="4">Seuils_CaR_et_PSS!$C$7:$C$15</definedName>
    <definedName name="Type_d_investissement">Plafonds_dépenses_éligibles!$C$3:$C$35</definedName>
    <definedName name="Type_entreprise">Listes!$F$3:$F$4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5" i="1" l="1"/>
  <c r="AA46" i="1"/>
  <c r="AA47" i="1"/>
  <c r="AA48" i="1"/>
  <c r="AA49" i="1"/>
  <c r="AA50" i="1"/>
  <c r="AA51" i="1"/>
  <c r="AA52" i="1"/>
  <c r="AA53" i="1"/>
  <c r="AA54" i="1"/>
  <c r="AA55" i="1"/>
  <c r="AA56" i="1"/>
  <c r="AA57" i="1"/>
  <c r="AA58" i="1"/>
  <c r="AA59" i="1"/>
  <c r="AA60" i="1"/>
  <c r="AA61" i="1"/>
  <c r="AA62" i="1"/>
  <c r="AA63" i="1"/>
  <c r="AC44" i="1"/>
  <c r="X72" i="1"/>
  <c r="X73" i="1"/>
  <c r="X74" i="1"/>
  <c r="X71" i="1"/>
  <c r="X45" i="1"/>
  <c r="Z45" i="1" s="1"/>
  <c r="X46" i="1"/>
  <c r="X47" i="1"/>
  <c r="X48" i="1"/>
  <c r="X49" i="1"/>
  <c r="X50" i="1"/>
  <c r="Z50" i="1" s="1"/>
  <c r="X51" i="1"/>
  <c r="X52" i="1"/>
  <c r="Z52" i="1" s="1"/>
  <c r="X53" i="1"/>
  <c r="X54" i="1"/>
  <c r="Z54" i="1" s="1"/>
  <c r="X55" i="1"/>
  <c r="X56" i="1"/>
  <c r="X57" i="1"/>
  <c r="X58" i="1"/>
  <c r="X59" i="1"/>
  <c r="X60" i="1"/>
  <c r="X61" i="1"/>
  <c r="X62" i="1"/>
  <c r="Z62" i="1" s="1"/>
  <c r="X63" i="1"/>
  <c r="X44" i="1"/>
  <c r="Z44" i="1" s="1"/>
  <c r="F44" i="1"/>
  <c r="AA44" i="1" s="1"/>
  <c r="F71" i="1"/>
  <c r="F72" i="1"/>
  <c r="D45" i="1"/>
  <c r="F45" i="1"/>
  <c r="AB45" i="1"/>
  <c r="AC45" i="1"/>
  <c r="AD45" i="1" s="1"/>
  <c r="D46" i="1"/>
  <c r="F46" i="1"/>
  <c r="Z46" i="1"/>
  <c r="AB46" i="1"/>
  <c r="AC46" i="1"/>
  <c r="AD46" i="1"/>
  <c r="D47" i="1"/>
  <c r="F47" i="1"/>
  <c r="Z47" i="1"/>
  <c r="AB47" i="1"/>
  <c r="AC47" i="1"/>
  <c r="AD47" i="1"/>
  <c r="D48" i="1"/>
  <c r="F48" i="1"/>
  <c r="Z48" i="1"/>
  <c r="AB48" i="1"/>
  <c r="AC48" i="1"/>
  <c r="AD48" i="1"/>
  <c r="D49" i="1"/>
  <c r="F49" i="1"/>
  <c r="Z49" i="1"/>
  <c r="AB49" i="1"/>
  <c r="AC49" i="1"/>
  <c r="AD49" i="1"/>
  <c r="D50" i="1"/>
  <c r="F50" i="1"/>
  <c r="AB50" i="1"/>
  <c r="AC50" i="1"/>
  <c r="AD50" i="1"/>
  <c r="D51" i="1"/>
  <c r="F51" i="1"/>
  <c r="Z51" i="1"/>
  <c r="AB51" i="1"/>
  <c r="AC51" i="1"/>
  <c r="AD51" i="1" s="1"/>
  <c r="D52" i="1"/>
  <c r="F52" i="1"/>
  <c r="AB52" i="1"/>
  <c r="AC52" i="1"/>
  <c r="AD52" i="1" s="1"/>
  <c r="D53" i="1"/>
  <c r="F53" i="1"/>
  <c r="Z53" i="1"/>
  <c r="AB53" i="1"/>
  <c r="AC53" i="1"/>
  <c r="AD53" i="1" s="1"/>
  <c r="D54" i="1"/>
  <c r="F54" i="1"/>
  <c r="AB54" i="1"/>
  <c r="AC54" i="1"/>
  <c r="AD54" i="1"/>
  <c r="D55" i="1"/>
  <c r="F55" i="1"/>
  <c r="Z55" i="1"/>
  <c r="AB55" i="1"/>
  <c r="AC55" i="1"/>
  <c r="AD55" i="1"/>
  <c r="D56" i="1"/>
  <c r="F56" i="1"/>
  <c r="Z56" i="1"/>
  <c r="AB56" i="1"/>
  <c r="AC56" i="1"/>
  <c r="AD56" i="1"/>
  <c r="D57" i="1"/>
  <c r="F57" i="1"/>
  <c r="Z57" i="1"/>
  <c r="AB57" i="1"/>
  <c r="AC57" i="1"/>
  <c r="AD57" i="1"/>
  <c r="D58" i="1"/>
  <c r="F58" i="1"/>
  <c r="Z58" i="1"/>
  <c r="AB58" i="1"/>
  <c r="AC58" i="1"/>
  <c r="AD58" i="1"/>
  <c r="D59" i="1"/>
  <c r="F59" i="1"/>
  <c r="Z59" i="1"/>
  <c r="AB59" i="1"/>
  <c r="AC59" i="1"/>
  <c r="AD59" i="1"/>
  <c r="D60" i="1"/>
  <c r="F60" i="1"/>
  <c r="Z60" i="1"/>
  <c r="AB60" i="1"/>
  <c r="AC60" i="1"/>
  <c r="AD60" i="1"/>
  <c r="D61" i="1"/>
  <c r="F61" i="1"/>
  <c r="Z61" i="1"/>
  <c r="AB61" i="1"/>
  <c r="AC61" i="1"/>
  <c r="AD61" i="1"/>
  <c r="D62" i="1"/>
  <c r="F62" i="1"/>
  <c r="AB62" i="1"/>
  <c r="AC62" i="1"/>
  <c r="AD62" i="1" s="1"/>
  <c r="D63" i="1"/>
  <c r="F63" i="1"/>
  <c r="Z63" i="1"/>
  <c r="AB63" i="1"/>
  <c r="AC63" i="1"/>
  <c r="AD63" i="1"/>
  <c r="D44" i="1"/>
  <c r="AP63" i="1" l="1"/>
  <c r="AP62" i="1"/>
  <c r="AP61" i="1"/>
  <c r="AP60" i="1"/>
  <c r="AP59" i="1"/>
  <c r="AP58" i="1"/>
  <c r="AP57" i="1"/>
  <c r="AP56" i="1"/>
  <c r="AP55" i="1"/>
  <c r="AP54" i="1"/>
  <c r="AP53" i="1"/>
  <c r="AP52" i="1"/>
  <c r="AP51" i="1"/>
  <c r="AP50" i="1"/>
  <c r="AP49" i="1"/>
  <c r="AP48" i="1"/>
  <c r="AP47" i="1"/>
  <c r="AP46" i="1"/>
  <c r="AP45" i="1"/>
  <c r="AK29" i="1"/>
  <c r="AK28" i="1"/>
  <c r="E29" i="1" l="1"/>
  <c r="D19" i="1"/>
  <c r="E30" i="1" l="1"/>
  <c r="E28" i="1"/>
  <c r="E27" i="1"/>
  <c r="AC72" i="1"/>
  <c r="AD72" i="1" s="1"/>
  <c r="AC73" i="1"/>
  <c r="AD73" i="1" s="1"/>
  <c r="AC74" i="1"/>
  <c r="AD74" i="1" s="1"/>
  <c r="AN72" i="1"/>
  <c r="AR72" i="1" s="1"/>
  <c r="AO72" i="1"/>
  <c r="AM72" i="1" s="1"/>
  <c r="AP72" i="1"/>
  <c r="AQ72" i="1"/>
  <c r="AV72" i="1"/>
  <c r="AN73" i="1"/>
  <c r="AS73" i="1" s="1"/>
  <c r="AU73" i="1" s="1"/>
  <c r="AO73" i="1"/>
  <c r="AM73" i="1" s="1"/>
  <c r="AP73" i="1"/>
  <c r="AQ73" i="1"/>
  <c r="AV73" i="1"/>
  <c r="AN74" i="1"/>
  <c r="AL74" i="1" s="1"/>
  <c r="AO74" i="1"/>
  <c r="AP74" i="1"/>
  <c r="AM74" i="1" s="1"/>
  <c r="AQ74" i="1"/>
  <c r="AV74" i="1"/>
  <c r="AV71" i="1"/>
  <c r="AP71" i="1"/>
  <c r="AM71" i="1" s="1"/>
  <c r="AO71" i="1"/>
  <c r="AN71" i="1"/>
  <c r="AK71" i="1" s="1"/>
  <c r="AF71" i="1" s="1"/>
  <c r="AQ50" i="1"/>
  <c r="AQ51" i="1"/>
  <c r="AQ52" i="1"/>
  <c r="AQ53" i="1"/>
  <c r="AQ54" i="1"/>
  <c r="AQ55" i="1"/>
  <c r="AQ56" i="1"/>
  <c r="AQ57" i="1"/>
  <c r="AQ58" i="1"/>
  <c r="AQ59" i="1"/>
  <c r="AQ60" i="1"/>
  <c r="AQ61" i="1"/>
  <c r="AQ62" i="1"/>
  <c r="AQ63" i="1"/>
  <c r="Z72" i="1"/>
  <c r="Z73" i="1"/>
  <c r="Z74" i="1"/>
  <c r="Z71" i="1"/>
  <c r="AA72" i="1"/>
  <c r="AA73" i="1"/>
  <c r="AA74" i="1"/>
  <c r="AB72" i="1"/>
  <c r="AB73" i="1"/>
  <c r="AB74" i="1"/>
  <c r="AB71" i="1"/>
  <c r="AA71" i="1"/>
  <c r="F74" i="1"/>
  <c r="F73" i="1"/>
  <c r="C61" i="8"/>
  <c r="C53" i="8"/>
  <c r="C43" i="8"/>
  <c r="AK21" i="1"/>
  <c r="AK27" i="1"/>
  <c r="AK19" i="1"/>
  <c r="AK30" i="1"/>
  <c r="D8" i="1" l="1"/>
  <c r="AG71" i="1"/>
  <c r="AK74" i="1"/>
  <c r="AF74" i="1" s="1"/>
  <c r="AL73" i="1"/>
  <c r="AH73" i="1" s="1"/>
  <c r="AT74" i="1"/>
  <c r="AS74" i="1"/>
  <c r="AU74" i="1" s="1"/>
  <c r="AT73" i="1"/>
  <c r="AR74" i="1"/>
  <c r="AT72" i="1"/>
  <c r="AR73" i="1"/>
  <c r="AS72" i="1"/>
  <c r="AU72" i="1" s="1"/>
  <c r="AK73" i="1"/>
  <c r="AF73" i="1" s="1"/>
  <c r="AL72" i="1"/>
  <c r="AK72" i="1"/>
  <c r="AL71" i="1"/>
  <c r="AH71" i="1" s="1"/>
  <c r="AR71" i="1"/>
  <c r="AT71" i="1"/>
  <c r="AG72" i="1"/>
  <c r="AI72" i="1"/>
  <c r="AH74" i="1"/>
  <c r="AG74" i="1"/>
  <c r="AI74" i="1"/>
  <c r="AG73" i="1"/>
  <c r="AI73" i="1"/>
  <c r="AH72" i="1"/>
  <c r="AF72" i="1"/>
  <c r="AK18" i="1"/>
  <c r="AK26" i="1"/>
  <c r="AS71" i="1" l="1"/>
  <c r="AU71" i="1" s="1"/>
  <c r="AQ71" i="1"/>
  <c r="AC71" i="1" s="1"/>
  <c r="AK16" i="1"/>
  <c r="AE48" i="1" l="1"/>
  <c r="AE60" i="1"/>
  <c r="AE57" i="1"/>
  <c r="AE49" i="1"/>
  <c r="AE61" i="1"/>
  <c r="AE55" i="1"/>
  <c r="AE50" i="1"/>
  <c r="AE62" i="1"/>
  <c r="AE44" i="1"/>
  <c r="AE53" i="1"/>
  <c r="AE56" i="1"/>
  <c r="AE51" i="1"/>
  <c r="AE63" i="1"/>
  <c r="AE52" i="1"/>
  <c r="AE54" i="1"/>
  <c r="AE46" i="1"/>
  <c r="AE58" i="1"/>
  <c r="AE47" i="1"/>
  <c r="AE59" i="1"/>
  <c r="AE45" i="1"/>
  <c r="AI71" i="1"/>
  <c r="AE72" i="1"/>
  <c r="AE73" i="1"/>
  <c r="AE74" i="1"/>
  <c r="AE71" i="1"/>
  <c r="AD71" i="1" s="1"/>
  <c r="AN44" i="1" l="1"/>
  <c r="AB44" i="1"/>
  <c r="AO44" i="1"/>
  <c r="AP44" i="1"/>
  <c r="AO45" i="1"/>
  <c r="AO46" i="1"/>
  <c r="AM46" i="1" s="1"/>
  <c r="AO47" i="1"/>
  <c r="AO48" i="1"/>
  <c r="AO49" i="1"/>
  <c r="AO50" i="1"/>
  <c r="AO51" i="1"/>
  <c r="AO52" i="1"/>
  <c r="AO53" i="1"/>
  <c r="AO54" i="1"/>
  <c r="AO55" i="1"/>
  <c r="AO56" i="1"/>
  <c r="AO57" i="1"/>
  <c r="AO58" i="1"/>
  <c r="AM58" i="1" s="1"/>
  <c r="AO59" i="1"/>
  <c r="AM59" i="1" s="1"/>
  <c r="AO60" i="1"/>
  <c r="AM60" i="1" s="1"/>
  <c r="AO61" i="1"/>
  <c r="AM61" i="1" s="1"/>
  <c r="AO62" i="1"/>
  <c r="AO63" i="1"/>
  <c r="AM63" i="1" s="1"/>
  <c r="C120" i="8"/>
  <c r="AM44" i="1" l="1"/>
  <c r="AT44" i="1" s="1"/>
  <c r="AM47" i="1"/>
  <c r="AM45" i="1"/>
  <c r="AM57" i="1"/>
  <c r="AL44" i="1"/>
  <c r="AH44" i="1" s="1"/>
  <c r="AK44" i="1"/>
  <c r="AM62" i="1"/>
  <c r="AM54" i="1"/>
  <c r="AM56" i="1"/>
  <c r="AM55" i="1"/>
  <c r="AM51" i="1"/>
  <c r="AM48" i="1"/>
  <c r="AM52" i="1"/>
  <c r="AM50" i="1"/>
  <c r="AM53" i="1"/>
  <c r="AM49" i="1"/>
  <c r="AV45" i="1"/>
  <c r="AV46" i="1"/>
  <c r="AV47" i="1"/>
  <c r="AV48" i="1"/>
  <c r="AV49" i="1"/>
  <c r="AV50" i="1"/>
  <c r="AV51" i="1"/>
  <c r="AV52" i="1"/>
  <c r="AV53" i="1"/>
  <c r="AV54" i="1"/>
  <c r="AV55" i="1"/>
  <c r="AV56" i="1"/>
  <c r="AV57" i="1"/>
  <c r="AV58" i="1"/>
  <c r="AV59" i="1"/>
  <c r="AV60" i="1"/>
  <c r="AV61" i="1"/>
  <c r="AV62" i="1"/>
  <c r="AV63" i="1"/>
  <c r="AV44" i="1"/>
  <c r="D86" i="8"/>
  <c r="E19" i="10"/>
  <c r="E20" i="10"/>
  <c r="E21" i="10"/>
  <c r="E22" i="10"/>
  <c r="E23" i="10"/>
  <c r="E24" i="10"/>
  <c r="E25" i="10"/>
  <c r="E26" i="10"/>
  <c r="E18" i="10"/>
  <c r="F19" i="10"/>
  <c r="F20" i="10"/>
  <c r="F21" i="10"/>
  <c r="F22" i="10"/>
  <c r="F23" i="10"/>
  <c r="F24" i="10"/>
  <c r="F25" i="10"/>
  <c r="F26" i="10"/>
  <c r="F18" i="10"/>
  <c r="D18" i="10"/>
  <c r="D19" i="10"/>
  <c r="D20" i="10"/>
  <c r="D21" i="10"/>
  <c r="D22" i="10"/>
  <c r="D23" i="10"/>
  <c r="D24" i="10"/>
  <c r="D25" i="10"/>
  <c r="D26" i="10"/>
  <c r="AR44" i="1" l="1"/>
  <c r="AG44" i="1" s="1"/>
  <c r="AQ44" i="1"/>
  <c r="AF44" i="1"/>
  <c r="C124" i="8"/>
  <c r="C122" i="8"/>
  <c r="AN45" i="1"/>
  <c r="AN46" i="1"/>
  <c r="AN47" i="1"/>
  <c r="AN48" i="1"/>
  <c r="AN49" i="1"/>
  <c r="AN50" i="1"/>
  <c r="AN51" i="1"/>
  <c r="AN52" i="1"/>
  <c r="AN53" i="1"/>
  <c r="AN54" i="1"/>
  <c r="AN55" i="1"/>
  <c r="AN56" i="1"/>
  <c r="AN57" i="1"/>
  <c r="AN58" i="1"/>
  <c r="AN59" i="1"/>
  <c r="AN60" i="1"/>
  <c r="AN61" i="1"/>
  <c r="AN62" i="1"/>
  <c r="AN63" i="1"/>
  <c r="AG51" i="1" l="1"/>
  <c r="AI51" i="1"/>
  <c r="AI50" i="1"/>
  <c r="AG50" i="1"/>
  <c r="AG49" i="1"/>
  <c r="AI49" i="1"/>
  <c r="AG48" i="1"/>
  <c r="AI48" i="1"/>
  <c r="AG63" i="1"/>
  <c r="AI63" i="1"/>
  <c r="AG61" i="1"/>
  <c r="AI61" i="1"/>
  <c r="AI60" i="1"/>
  <c r="AG60" i="1"/>
  <c r="AG59" i="1"/>
  <c r="AI59" i="1"/>
  <c r="AG47" i="1"/>
  <c r="AI47" i="1"/>
  <c r="AI46" i="1"/>
  <c r="AG46" i="1"/>
  <c r="AG58" i="1"/>
  <c r="AI58" i="1"/>
  <c r="AG57" i="1"/>
  <c r="AI57" i="1"/>
  <c r="AI45" i="1"/>
  <c r="AG45" i="1"/>
  <c r="AI56" i="1"/>
  <c r="AG56" i="1"/>
  <c r="AG55" i="1"/>
  <c r="AI55" i="1"/>
  <c r="AI54" i="1"/>
  <c r="AG54" i="1"/>
  <c r="AI53" i="1"/>
  <c r="AG53" i="1"/>
  <c r="AI62" i="1"/>
  <c r="AG62" i="1"/>
  <c r="AG52" i="1"/>
  <c r="AI52" i="1"/>
  <c r="AL45" i="1"/>
  <c r="AH45" i="1" s="1"/>
  <c r="AQ46" i="1"/>
  <c r="AL56" i="1"/>
  <c r="AH56" i="1" s="1"/>
  <c r="AK56" i="1"/>
  <c r="AF56" i="1" s="1"/>
  <c r="AL54" i="1"/>
  <c r="AH54" i="1" s="1"/>
  <c r="AK54" i="1"/>
  <c r="AF54" i="1" s="1"/>
  <c r="AL49" i="1"/>
  <c r="AH49" i="1" s="1"/>
  <c r="AK49" i="1"/>
  <c r="AF49" i="1" s="1"/>
  <c r="AL55" i="1"/>
  <c r="AH55" i="1" s="1"/>
  <c r="AK55" i="1"/>
  <c r="AF55" i="1" s="1"/>
  <c r="AL53" i="1"/>
  <c r="AH53" i="1" s="1"/>
  <c r="AK53" i="1"/>
  <c r="AF53" i="1" s="1"/>
  <c r="AL52" i="1"/>
  <c r="AH52" i="1" s="1"/>
  <c r="AK52" i="1"/>
  <c r="AF52" i="1" s="1"/>
  <c r="AL63" i="1"/>
  <c r="AH63" i="1" s="1"/>
  <c r="AK63" i="1"/>
  <c r="AF63" i="1" s="1"/>
  <c r="AL51" i="1"/>
  <c r="AH51" i="1" s="1"/>
  <c r="AK51" i="1"/>
  <c r="AF51" i="1" s="1"/>
  <c r="AL62" i="1"/>
  <c r="AH62" i="1" s="1"/>
  <c r="AK62" i="1"/>
  <c r="AF62" i="1" s="1"/>
  <c r="AL50" i="1"/>
  <c r="AH50" i="1" s="1"/>
  <c r="AK50" i="1"/>
  <c r="AF50" i="1" s="1"/>
  <c r="AL61" i="1"/>
  <c r="AH61" i="1" s="1"/>
  <c r="AK61" i="1"/>
  <c r="AF61" i="1" s="1"/>
  <c r="AL60" i="1"/>
  <c r="AH60" i="1" s="1"/>
  <c r="AK60" i="1"/>
  <c r="AF60" i="1" s="1"/>
  <c r="AL48" i="1"/>
  <c r="AH48" i="1" s="1"/>
  <c r="AK48" i="1"/>
  <c r="AF48" i="1" s="1"/>
  <c r="AL59" i="1"/>
  <c r="AH59" i="1" s="1"/>
  <c r="AK59" i="1"/>
  <c r="AF59" i="1" s="1"/>
  <c r="AL47" i="1"/>
  <c r="AH47" i="1" s="1"/>
  <c r="AK47" i="1"/>
  <c r="AF47" i="1" s="1"/>
  <c r="AL58" i="1"/>
  <c r="AH58" i="1" s="1"/>
  <c r="AK58" i="1"/>
  <c r="AF58" i="1" s="1"/>
  <c r="AL46" i="1"/>
  <c r="AH46" i="1" s="1"/>
  <c r="AK46" i="1"/>
  <c r="AF46" i="1" s="1"/>
  <c r="AL57" i="1"/>
  <c r="AH57" i="1" s="1"/>
  <c r="AK57" i="1"/>
  <c r="AF57" i="1" s="1"/>
  <c r="AK45" i="1"/>
  <c r="AT49" i="1"/>
  <c r="AT45" i="1"/>
  <c r="AS62" i="1"/>
  <c r="AT62" i="1"/>
  <c r="AR62" i="1"/>
  <c r="AS60" i="1"/>
  <c r="AT60" i="1"/>
  <c r="AR60" i="1"/>
  <c r="AT47" i="1"/>
  <c r="AT57" i="1"/>
  <c r="AR57" i="1"/>
  <c r="AS57" i="1"/>
  <c r="AT56" i="1"/>
  <c r="AR56" i="1"/>
  <c r="AS56" i="1"/>
  <c r="AU56" i="1" s="1"/>
  <c r="AS51" i="1"/>
  <c r="AT51" i="1"/>
  <c r="AR51" i="1"/>
  <c r="AT59" i="1"/>
  <c r="AS59" i="1"/>
  <c r="AR59" i="1"/>
  <c r="AT55" i="1"/>
  <c r="AR55" i="1"/>
  <c r="AS55" i="1"/>
  <c r="AU55" i="1" s="1"/>
  <c r="AS50" i="1"/>
  <c r="AR50" i="1"/>
  <c r="AT50" i="1"/>
  <c r="AS48" i="1"/>
  <c r="AT48" i="1"/>
  <c r="AT46" i="1"/>
  <c r="AR46" i="1"/>
  <c r="AS46" i="1"/>
  <c r="AR54" i="1"/>
  <c r="AT54" i="1"/>
  <c r="AS54" i="1"/>
  <c r="AS63" i="1"/>
  <c r="AU63" i="1" s="1"/>
  <c r="AT63" i="1"/>
  <c r="AR63" i="1"/>
  <c r="AS61" i="1"/>
  <c r="AT61" i="1"/>
  <c r="AR61" i="1"/>
  <c r="AT58" i="1"/>
  <c r="AR58" i="1"/>
  <c r="AS58" i="1"/>
  <c r="AU58" i="1" s="1"/>
  <c r="AR53" i="1"/>
  <c r="AS53" i="1"/>
  <c r="AU53" i="1" s="1"/>
  <c r="AT53" i="1"/>
  <c r="AR52" i="1"/>
  <c r="AS52" i="1"/>
  <c r="AT52" i="1"/>
  <c r="G111" i="8"/>
  <c r="F111" i="8"/>
  <c r="E111" i="8"/>
  <c r="G94" i="8"/>
  <c r="F94" i="8"/>
  <c r="G76" i="8"/>
  <c r="O77" i="8" s="1"/>
  <c r="E94" i="8"/>
  <c r="E76" i="8"/>
  <c r="M77" i="8" s="1"/>
  <c r="E67" i="8"/>
  <c r="M68" i="8" s="1"/>
  <c r="C116" i="8"/>
  <c r="C114" i="8"/>
  <c r="C112" i="8"/>
  <c r="C99" i="8"/>
  <c r="C97" i="8"/>
  <c r="C95" i="8"/>
  <c r="C107" i="8"/>
  <c r="C105" i="8"/>
  <c r="C103" i="8"/>
  <c r="E81" i="8"/>
  <c r="E80" i="8"/>
  <c r="E79" i="8"/>
  <c r="E78" i="8"/>
  <c r="G81" i="8"/>
  <c r="G80" i="8"/>
  <c r="G79" i="8"/>
  <c r="G78" i="8"/>
  <c r="I81" i="8"/>
  <c r="I80" i="8"/>
  <c r="I79" i="8"/>
  <c r="I78" i="8"/>
  <c r="I72" i="8"/>
  <c r="I71" i="8"/>
  <c r="I70" i="8"/>
  <c r="I69" i="8"/>
  <c r="G72" i="8"/>
  <c r="G71" i="8"/>
  <c r="G70" i="8"/>
  <c r="G69" i="8"/>
  <c r="E72" i="8"/>
  <c r="E71" i="8"/>
  <c r="E70" i="8"/>
  <c r="E69" i="8"/>
  <c r="I55" i="8"/>
  <c r="G116" i="8" s="1"/>
  <c r="I54" i="8"/>
  <c r="G115" i="8" s="1"/>
  <c r="I53" i="8"/>
  <c r="G114" i="8" s="1"/>
  <c r="I52" i="8"/>
  <c r="G113" i="8" s="1"/>
  <c r="I51" i="8"/>
  <c r="G112" i="8" s="1"/>
  <c r="E63" i="8"/>
  <c r="F63" i="8" s="1"/>
  <c r="E124" i="8" s="1"/>
  <c r="E62" i="8"/>
  <c r="E61" i="8"/>
  <c r="E60" i="8"/>
  <c r="E59" i="8"/>
  <c r="G55" i="8"/>
  <c r="H55" i="8" s="1"/>
  <c r="F116" i="8" s="1"/>
  <c r="G54" i="8"/>
  <c r="G53" i="8"/>
  <c r="G52" i="8"/>
  <c r="G51" i="8"/>
  <c r="E55" i="8"/>
  <c r="F55" i="8" s="1"/>
  <c r="E116" i="8" s="1"/>
  <c r="E54" i="8"/>
  <c r="E53" i="8"/>
  <c r="E52" i="8"/>
  <c r="E51" i="8"/>
  <c r="E45" i="8"/>
  <c r="F45" i="8" s="1"/>
  <c r="E107" i="8" s="1"/>
  <c r="E44" i="8"/>
  <c r="E43" i="8"/>
  <c r="E42" i="8"/>
  <c r="E41" i="8"/>
  <c r="I37" i="8"/>
  <c r="G99" i="8" s="1"/>
  <c r="I36" i="8"/>
  <c r="G98" i="8" s="1"/>
  <c r="I35" i="8"/>
  <c r="G97" i="8" s="1"/>
  <c r="I34" i="8"/>
  <c r="G96" i="8" s="1"/>
  <c r="I33" i="8"/>
  <c r="G95" i="8" s="1"/>
  <c r="G37" i="8"/>
  <c r="H37" i="8" s="1"/>
  <c r="F99" i="8" s="1"/>
  <c r="G36" i="8"/>
  <c r="G35" i="8"/>
  <c r="G34" i="8"/>
  <c r="G33" i="8"/>
  <c r="E34" i="8"/>
  <c r="E35" i="8"/>
  <c r="E36" i="8"/>
  <c r="E37" i="8"/>
  <c r="F37" i="8" s="1"/>
  <c r="E99" i="8" s="1"/>
  <c r="E33" i="8"/>
  <c r="K45" i="8"/>
  <c r="K63" i="8"/>
  <c r="C80" i="8"/>
  <c r="K80" i="8" s="1"/>
  <c r="C78" i="8"/>
  <c r="K78" i="8" s="1"/>
  <c r="C69" i="8"/>
  <c r="K69" i="8" s="1"/>
  <c r="C71" i="8"/>
  <c r="K71" i="8" s="1"/>
  <c r="C35" i="8"/>
  <c r="K35" i="8" s="1"/>
  <c r="C33" i="8"/>
  <c r="K33" i="8" s="1"/>
  <c r="C59" i="8"/>
  <c r="K59" i="8" s="1"/>
  <c r="C63" i="8"/>
  <c r="K61" i="8"/>
  <c r="C55" i="8"/>
  <c r="K55" i="8" s="1"/>
  <c r="K53" i="8"/>
  <c r="C51" i="8"/>
  <c r="K51" i="8" s="1"/>
  <c r="C37" i="8"/>
  <c r="K37" i="8" s="1"/>
  <c r="C45" i="8"/>
  <c r="K43" i="8"/>
  <c r="C41" i="8"/>
  <c r="K41" i="8" s="1"/>
  <c r="I31" i="8"/>
  <c r="Q32" i="8" s="1"/>
  <c r="G31" i="8"/>
  <c r="O32" i="8" s="1"/>
  <c r="E31" i="8"/>
  <c r="M32" i="8" s="1"/>
  <c r="I76" i="8"/>
  <c r="Q77" i="8" s="1"/>
  <c r="I67" i="8"/>
  <c r="Q68" i="8" s="1"/>
  <c r="G67" i="8"/>
  <c r="O68" i="8" s="1"/>
  <c r="G49" i="8"/>
  <c r="O50" i="8" s="1"/>
  <c r="I49" i="8"/>
  <c r="Q50" i="8" s="1"/>
  <c r="E49" i="8"/>
  <c r="M50" i="8" s="1"/>
  <c r="D13" i="8"/>
  <c r="AU60" i="1" l="1"/>
  <c r="AU51" i="1"/>
  <c r="AU61" i="1"/>
  <c r="AU62" i="1"/>
  <c r="AU52" i="1"/>
  <c r="AU50" i="1"/>
  <c r="AU57" i="1"/>
  <c r="AR45" i="1"/>
  <c r="AF45" i="1"/>
  <c r="AU54" i="1"/>
  <c r="AU59" i="1"/>
  <c r="AU46" i="1"/>
  <c r="AQ49" i="1"/>
  <c r="AS49" i="1"/>
  <c r="AR49" i="1"/>
  <c r="AR48" i="1"/>
  <c r="AQ48" i="1"/>
  <c r="AQ47" i="1"/>
  <c r="AR47" i="1"/>
  <c r="AS47" i="1"/>
  <c r="AQ45" i="1"/>
  <c r="F62" i="8"/>
  <c r="E123" i="8" s="1"/>
  <c r="H35" i="8"/>
  <c r="F97" i="8" s="1"/>
  <c r="F52" i="8"/>
  <c r="E113" i="8" s="1"/>
  <c r="F54" i="8"/>
  <c r="E115" i="8" s="1"/>
  <c r="H51" i="8"/>
  <c r="F112" i="8" s="1"/>
  <c r="F36" i="8"/>
  <c r="E98" i="8" s="1"/>
  <c r="H52" i="8"/>
  <c r="F113" i="8" s="1"/>
  <c r="F33" i="8"/>
  <c r="E95" i="8" s="1"/>
  <c r="F35" i="8"/>
  <c r="E97" i="8" s="1"/>
  <c r="F41" i="8"/>
  <c r="E103" i="8" s="1"/>
  <c r="H53" i="8"/>
  <c r="F114" i="8" s="1"/>
  <c r="H36" i="8"/>
  <c r="F98" i="8" s="1"/>
  <c r="F34" i="8"/>
  <c r="E96" i="8" s="1"/>
  <c r="F42" i="8"/>
  <c r="E104" i="8" s="1"/>
  <c r="H54" i="8"/>
  <c r="F115" i="8" s="1"/>
  <c r="F53" i="8"/>
  <c r="E114" i="8" s="1"/>
  <c r="H33" i="8"/>
  <c r="F95" i="8" s="1"/>
  <c r="F43" i="8"/>
  <c r="E105" i="8" s="1"/>
  <c r="H34" i="8"/>
  <c r="F96" i="8" s="1"/>
  <c r="F44" i="8"/>
  <c r="E106" i="8" s="1"/>
  <c r="F59" i="8"/>
  <c r="E120" i="8" s="1"/>
  <c r="F60" i="8"/>
  <c r="E121" i="8" s="1"/>
  <c r="F51" i="8"/>
  <c r="E112" i="8" s="1"/>
  <c r="F61" i="8"/>
  <c r="E122" i="8" s="1"/>
  <c r="F78" i="8"/>
  <c r="F70" i="8"/>
  <c r="F71" i="8"/>
  <c r="F80" i="8"/>
  <c r="F72" i="8"/>
  <c r="F81" i="8"/>
  <c r="H69" i="8"/>
  <c r="H70" i="8"/>
  <c r="H80" i="8"/>
  <c r="H81" i="8"/>
  <c r="F69" i="8"/>
  <c r="F79" i="8"/>
  <c r="H71" i="8"/>
  <c r="H72" i="8"/>
  <c r="H78" i="8"/>
  <c r="H79" i="8"/>
  <c r="D10" i="1"/>
  <c r="E10" i="1" s="1"/>
  <c r="D21" i="1"/>
  <c r="D18" i="1"/>
  <c r="D17" i="1"/>
  <c r="AU49" i="1" l="1"/>
  <c r="AU48" i="1"/>
  <c r="AU47" i="1"/>
  <c r="C23" i="1"/>
  <c r="C22" i="1"/>
  <c r="AS44" i="1" l="1"/>
  <c r="AU44" i="1" s="1"/>
  <c r="AS45" i="1"/>
  <c r="AW72" i="1"/>
  <c r="AW71" i="1"/>
  <c r="AW74" i="1"/>
  <c r="AW73" i="1"/>
  <c r="AW46" i="1"/>
  <c r="AW58" i="1"/>
  <c r="AW47" i="1"/>
  <c r="AW59" i="1"/>
  <c r="AW60" i="1"/>
  <c r="AW57" i="1"/>
  <c r="AW48" i="1"/>
  <c r="AW49" i="1"/>
  <c r="AW61" i="1"/>
  <c r="AW44" i="1"/>
  <c r="AW50" i="1"/>
  <c r="AW62" i="1"/>
  <c r="AW63" i="1"/>
  <c r="AW52" i="1"/>
  <c r="AW53" i="1"/>
  <c r="AW54" i="1"/>
  <c r="AW55" i="1"/>
  <c r="AW56" i="1"/>
  <c r="AW45" i="1"/>
  <c r="AW51" i="1"/>
  <c r="AI44" i="1" l="1"/>
  <c r="AU45" i="1"/>
  <c r="AD44" i="1"/>
  <c r="E8" i="1" l="1"/>
  <c r="D11" i="1" s="1"/>
  <c r="E11" i="1" s="1"/>
  <c r="G8" i="1" l="1"/>
  <c r="F8" i="1"/>
</calcChain>
</file>

<file path=xl/sharedStrings.xml><?xml version="1.0" encoding="utf-8"?>
<sst xmlns="http://schemas.openxmlformats.org/spreadsheetml/2006/main" count="887" uniqueCount="308">
  <si>
    <t>AMI ESPR volet 2 - 2024 - Annexe 1 : Formulaire de demande d'aide</t>
  </si>
  <si>
    <r>
      <rPr>
        <sz val="11"/>
        <color theme="1"/>
        <rFont val="Calibri"/>
        <family val="2"/>
      </rPr>
      <t xml:space="preserve">L'annexe 1 vous permet de décrire vos projets d'investissements dans le cadre de votre dossier de demande d'aide ESPR 2024 - Volet 2.
Cette annexe vous permettra également de compléter votre dossier de demande d'aide sur </t>
    </r>
    <r>
      <rPr>
        <u/>
        <sz val="11"/>
        <color theme="4"/>
        <rFont val="Calibri"/>
        <family val="2"/>
      </rPr>
      <t xml:space="preserve">la plateforme Agir </t>
    </r>
    <r>
      <rPr>
        <sz val="11"/>
        <color theme="1"/>
        <rFont val="Calibri"/>
        <family val="2"/>
      </rPr>
      <t xml:space="preserve">lors du dépôt.
Il s'agit d'un document obligatoire. Merci de renseigner uniquement les cases en bleu dans l'onglet bleu intitulé "Mes_investissements".
</t>
    </r>
    <r>
      <rPr>
        <u/>
        <sz val="11"/>
        <color rgb="FF0000FF"/>
        <rFont val="Calibri"/>
        <family val="2"/>
      </rPr>
      <t xml:space="preserve">
</t>
    </r>
    <r>
      <rPr>
        <sz val="11"/>
        <rFont val="Calibri"/>
        <family val="2"/>
      </rPr>
      <t xml:space="preserve">Attention ! Les informations saisies dans cet onglet auront une valeur contractuelle. 
Ces informations devront figurer sur le(s) devis à fournir pour chaque équipement concerné. 
Vous êtes invité à demander ces informations techniques à votre revendeur. 
Toutes les dépenses doivent être indiquées en euros HTR.
En cas de doute sur la manière de remplir une case dans le formulaire, veuillez consulter </t>
    </r>
    <r>
      <rPr>
        <u/>
        <sz val="11"/>
        <color theme="4"/>
        <rFont val="Calibri"/>
        <family val="2"/>
      </rPr>
      <t>la Foire Aux Questions (FAQ) mise en ligne sur Agir.</t>
    </r>
    <r>
      <rPr>
        <sz val="11"/>
        <rFont val="Calibri"/>
        <family val="2"/>
      </rPr>
      <t xml:space="preserve">
La liste d'équipements éligibles est disponible sur l</t>
    </r>
    <r>
      <rPr>
        <u/>
        <sz val="11"/>
        <color theme="4"/>
        <rFont val="Calibri"/>
        <family val="2"/>
      </rPr>
      <t>a plateforme Agir.</t>
    </r>
  </si>
  <si>
    <t>Contact :</t>
  </si>
  <si>
    <t>espr@ademe.fr</t>
  </si>
  <si>
    <t>Ne remplir que les cases bleues (certaines apparaissent lors de la saisie).</t>
  </si>
  <si>
    <t>0. Tableau récapitulatif des montants d'investissement et d'aide accordée (se remplit automatiquement)</t>
  </si>
  <si>
    <t>TABLEAU RECAPITULATIF DES MONTANTS DE DEPENSES ET D'AIDE ADEME ATTENDUE</t>
  </si>
  <si>
    <t>Montant HT (€)</t>
  </si>
  <si>
    <t>Aide attendue (€)</t>
  </si>
  <si>
    <t>Taux d'aide prévisionnel</t>
  </si>
  <si>
    <t>TOTAL DES INVESTISSEMENTS</t>
  </si>
  <si>
    <t>Mon plancher de dépenses éligibles est conforme :</t>
  </si>
  <si>
    <t>Le montant d'aide attendue est conforme :</t>
  </si>
  <si>
    <t>Ne rien saisir dans ce tableau. Les informations contenues dans ce tableau sont celles à saisir sur la plateforme Agir lors du dépôt du dossier de demande d'aide. Le montant d'aide attendue dans le tableau est calculé en fonction des informations saisies dans le tableau principal. Il sera vérifié par l'ADEME et pourra être révisé.</t>
  </si>
  <si>
    <t>1. Je complète d'abord les informations relatives à mon entreprise</t>
  </si>
  <si>
    <t>Nom de l'entreprise</t>
  </si>
  <si>
    <t>SIRET</t>
  </si>
  <si>
    <t>Catégorie d'entreprise :</t>
  </si>
  <si>
    <t xml:space="preserve">Département du siège de l'entreprise : </t>
  </si>
  <si>
    <t>DROM ?</t>
  </si>
  <si>
    <t>Guyane ?</t>
  </si>
  <si>
    <t>2. Je vérifie que je suis bien éligible, tout comme mes dépenses</t>
  </si>
  <si>
    <t>Je suis engagé dans un dispositif attestant de la durabilité de mes activités forestières : PEFC, FSC, QualiTerritoires « ETF – Gestion Durable de la Forêt » ou équivalent intégrant un système de contrôle des chantiers :</t>
  </si>
  <si>
    <t>Mes équipements de catégorie 1 seront bien équipés à l’achat d’huiles et lubrifiants biodégradables et non écotoxiques :</t>
  </si>
  <si>
    <t>Si je désire acheter du matériel d'occasion, j'ai bien lu la partie du Cahier des Charges relative à ce type d'achat :</t>
  </si>
  <si>
    <t>Je certifie que je n'ai pas signé de devis ni engagé de dépenses avant le dépôt de ma demande d'aide auprès de l'ADEME :</t>
  </si>
  <si>
    <t>3. Saisissez les investissements prévus dans le tableau ci-dessous</t>
  </si>
  <si>
    <t>En cas de doute sur la manière de remplir une case dans le formulaire, veuillez consulter la Foire Aux Questions (FAQ) mise en ligne sur Agir</t>
  </si>
  <si>
    <t>Attention ! Les informations saisies dans ces colonnes auront une valeur contractuelle. Ces informations devront figurer sur le(s) devis à fournir pour chaque équipement concerné. Vous êtes invité à demander ces informations techniques à votre revendeur. Toutes les dépenses doivent être indiquées en euros HT.</t>
  </si>
  <si>
    <t>La liste d'équipements éligibles est disponible sur la plateforme Agir. Sélectionnez le type d'investissement correspondant le mieux à chacun des équipements que vous souhaitez acquérir. 
Ne remplir que les cases bleues (certaines apparaissent lors de la saisie).</t>
  </si>
  <si>
    <t>3a. Tous les équipements sauf les robots de plantation</t>
  </si>
  <si>
    <t>LES INVESTISSEMENTS QUE JE PREVOIS DE REALISER</t>
  </si>
  <si>
    <t>Type d'investissement (liste déroulante)</t>
  </si>
  <si>
    <t>Exemples / commentaires</t>
  </si>
  <si>
    <t>Description courte de l'investissement (saisie libre)</t>
  </si>
  <si>
    <t>Occasion/neuf? (liste déroulante)</t>
  </si>
  <si>
    <t>Masse équipée (kilogrammes)</t>
  </si>
  <si>
    <t>Charge utile (kilogrammes)</t>
  </si>
  <si>
    <t>Roues/chenilles? (liste déroulante)</t>
  </si>
  <si>
    <t>Longueur des chenilles (empattement en mm)</t>
  </si>
  <si>
    <t>Largeur des chenilles (en mm)</t>
  </si>
  <si>
    <t>Nombre de roues AVANT</t>
  </si>
  <si>
    <t>Largeur des pneus (mm)</t>
  </si>
  <si>
    <t>Hauteur de flanc (%)</t>
  </si>
  <si>
    <t>Diamètre de la jante (pouces)</t>
  </si>
  <si>
    <t>Nombre de roues ARRIERE</t>
  </si>
  <si>
    <t>Nombre de roues REMORQUE</t>
  </si>
  <si>
    <t>Quantité</t>
  </si>
  <si>
    <t>Montant HTR unitaire (€)</t>
  </si>
  <si>
    <t>Montant HTR total (€)</t>
  </si>
  <si>
    <t>Plafond de dépenses éligibles (€)</t>
  </si>
  <si>
    <t>Type de plafond (€)</t>
  </si>
  <si>
    <t>Taux d'aide maximum (%)</t>
  </si>
  <si>
    <t>Taux d'aide réel (%)</t>
  </si>
  <si>
    <t>Charge à la roue estimée</t>
  </si>
  <si>
    <t>Impact charge à la roue</t>
  </si>
  <si>
    <t>Pression statique exercée sur le sol estimée</t>
  </si>
  <si>
    <t>Impact pression statique</t>
  </si>
  <si>
    <t>Ch roue (caché)</t>
  </si>
  <si>
    <t>P sol (caché)</t>
  </si>
  <si>
    <t>Pneus</t>
  </si>
  <si>
    <t>Catégorie</t>
  </si>
  <si>
    <t>Tracteurs ?</t>
  </si>
  <si>
    <t>Débusqueurs</t>
  </si>
  <si>
    <t>Eligible ?</t>
  </si>
  <si>
    <t>Test CaR ?</t>
  </si>
  <si>
    <t>Test PSS ?</t>
  </si>
  <si>
    <t>Test Pneus ?</t>
  </si>
  <si>
    <t>Bonifié ?</t>
  </si>
  <si>
    <t>TPE /PME ?</t>
  </si>
  <si>
    <t>3b. Robots de plantation</t>
  </si>
  <si>
    <t xml:space="preserve">Si le robot de plantation est une machine roulante (chenille ou roue), choisir catégorie 1 en colonne B, puis en colonne C merci de remplir cette grille en suivant la configuration de votre machine qui ressemble le plus à un des équipements listés dans le menu déroulant. En cas de doute, contacter espr@ademe.fr </t>
  </si>
  <si>
    <t>Consignes</t>
  </si>
  <si>
    <t>Choisir l'équipement de catégorie 1 qui ressemble le plus à votre robot</t>
  </si>
  <si>
    <t>Type d’investissement</t>
  </si>
  <si>
    <t>Type plafonds d'aide</t>
  </si>
  <si>
    <t>Plafond maximum de dépense subventionnable HT (hors frais de livraison)</t>
  </si>
  <si>
    <t>Machine de bûcheronnage : porte outils spécifique + tête de bucheronnage</t>
  </si>
  <si>
    <t>A l’exclusion des têtes à disque ou cisaille</t>
  </si>
  <si>
    <t>Par équipement</t>
  </si>
  <si>
    <t>Pelle hydraulique équipée forêt munie d’une tête de bûcheronnage</t>
  </si>
  <si>
    <t>Porteur forestier</t>
  </si>
  <si>
    <t>Mini-pelle ou midi-pelle  munie d’un outil sylvicole</t>
  </si>
  <si>
    <t>Masse maximale 12 tonnes équipée - outil sylvicole : sous soleur multifonction, scarificateurs, griffes à ronce, batonneuse à fougère, cover crop, gyrobroyeur, petite cisaille dédiée au dépressage et nettoiement.</t>
  </si>
  <si>
    <t>Tracteur agricole blindé forestier</t>
  </si>
  <si>
    <t>Avec obligatoirement tous les aménagements suivants : conduite en poste inversé, vitesses rampantes, élévation de la garde au sol, prise de force arrière renforcée</t>
  </si>
  <si>
    <t>Ensemble tracteur forestier + remorque forestière avec ranchers + grue </t>
  </si>
  <si>
    <t>Remorque forestière avec grue et ranchers</t>
  </si>
  <si>
    <t>ATTENTION : indiquer le poids du TRACTEUR ET DE LA REMORQUE DANS LA COLONNE G ("Masse équipée") et la charge utile dans la colonne H ("Charge utile")</t>
  </si>
  <si>
    <t>Broyeurs chenillés</t>
  </si>
  <si>
    <t>Automoteurs télécommandés ou avec cabine - masse maximale 12 tonnes</t>
  </si>
  <si>
    <t>Débusqueur à câble ou débusqueur à grue munis d'un treuil ou tout autre dispositif permettant de tirer les bois jusqu'au cloisonnement d'exploitation</t>
  </si>
  <si>
    <t>A l’exclusion des débusqueurs à pince</t>
  </si>
  <si>
    <t>Dispositif mobile de débardage par câble aérien et équipements associés dont les chokers automatiques et câbles</t>
  </si>
  <si>
    <t>Par entreprise</t>
  </si>
  <si>
    <t>Equipement divers lié à la traction animale</t>
  </si>
  <si>
    <t>dont : chevaux, harnais, câbles, poulies, trinqueballe, porteur forestier dédié à la traction animale, van de transport pour chevaux</t>
  </si>
  <si>
    <t>Cheval de fer et remorque</t>
  </si>
  <si>
    <t>Pack bûcherons et sylviculteurs</t>
  </si>
  <si>
    <t>Tronçonneuses, coins mécaniques et coins radiocommandés, débroussailleuses, croissants mécaniques, perche à élaguer, équipements de sécurité (pantalons de sécurité, casques, système de radio communication, bottes et chaussures de sécurité, ou autre dispositif de sécurité)</t>
  </si>
  <si>
    <t>Equipement d’un tracteur agricole au travail en forêt</t>
  </si>
  <si>
    <t>Avec obligatoirement les aménagements suivants : conduite en poste inversé, vitesses rampantes, élévation de la garde au sol, prise de force arrière renforcée </t>
  </si>
  <si>
    <t>Dispositif démontable de franchissement temporaire des cours d’eau</t>
  </si>
  <si>
    <t>Ebrancheuse</t>
  </si>
  <si>
    <t>Treuil d’aide à la traction (traction de machine)</t>
  </si>
  <si>
    <t>Treuil de débardage des bois (traction des bois)</t>
  </si>
  <si>
    <t>Tête de bûcheronnage</t>
  </si>
  <si>
    <t xml:space="preserve"> </t>
  </si>
  <si>
    <t>Equipement antivol</t>
  </si>
  <si>
    <t>Conditionné à l’achat conjoint d’une machine</t>
  </si>
  <si>
    <t>Paire de tracks</t>
  </si>
  <si>
    <t>Matériel informatique et de cartographie embarqué</t>
  </si>
  <si>
    <t>GPS, barre de guidage, matériel d’autoguidage et logiciels de cartographie, de collecte et de transmission de données</t>
  </si>
  <si>
    <t>Drone et équipement de cartographie (télédétection)</t>
  </si>
  <si>
    <t>Equipement de métrologie numérisée embarqués</t>
  </si>
  <si>
    <t>Pied à coulisse électronique et systèmes de pesons homologués pour les porteurs </t>
  </si>
  <si>
    <t>Outil de saisie de terrain permettant d’améliorer le suivi de l’activité et l’échange de données </t>
  </si>
  <si>
    <t>Logiciel de gestion d'entreprise à jour des standards existants </t>
  </si>
  <si>
    <t>Suivi des chantiers, des stocks, comptabilité analytique et facturation électronique)</t>
  </si>
  <si>
    <t>Robot de plantation</t>
  </si>
  <si>
    <t>Equipements visant à améliorer le taux de reprise des plantations</t>
  </si>
  <si>
    <t>Système de pralinage des plants en racines nues et mise en sac, sacs de transport des plants</t>
  </si>
  <si>
    <t>Equipements visant à optimiser le transport et de la conservation des plants</t>
  </si>
  <si>
    <t>Conteneur frigorifique fixe ou chambre froide, équipement de stockage des plants (serre, système d’arrosage), tunnel pour stockage sur chantier, équipement et isolation du véhicule pour le transport et la conservation des plants, brouette mécanique</t>
  </si>
  <si>
    <t>Plateformes de plantation adaptées à l'environnent forestier ou tout autre outil dédié à la plantation en milieu forestier (tête de plantation).</t>
  </si>
  <si>
    <t>Exosquelette destiné aux travaux sylvicoles </t>
  </si>
  <si>
    <t>Outil manuel de plantation par lots</t>
  </si>
  <si>
    <t>Cannes à planter / houes</t>
  </si>
  <si>
    <t>Matériel de sylviculture à monter sur porte-outil</t>
  </si>
  <si>
    <t>Sous soleur, scarificateur, griffe à ronce, batonneuse à fougère, cover crop, gyrobroyeur, charrue forestière à disques, petite cisaille dédiée au dépressage et nettoiement.</t>
  </si>
  <si>
    <t>CODES COULEURS</t>
  </si>
  <si>
    <t>Paramètre</t>
  </si>
  <si>
    <t>Calcul</t>
  </si>
  <si>
    <t>TAUX EQUIPEMENTS HORS CATEGORIE 1</t>
  </si>
  <si>
    <t>Taux d'aides - Autres</t>
  </si>
  <si>
    <t>TPE /PME</t>
  </si>
  <si>
    <t>ETI /GE</t>
  </si>
  <si>
    <t>CAT 2 - 3 - 4 - 5</t>
  </si>
  <si>
    <t>METROPOLE ET DROM</t>
  </si>
  <si>
    <t>Bonification DROM vs. Métropole</t>
  </si>
  <si>
    <t>Seuil charge à la roue min - hors éq. spéciaux</t>
  </si>
  <si>
    <t>t/roue</t>
  </si>
  <si>
    <t>hors porteurs, engins de débardage combinés et débusqueurs</t>
  </si>
  <si>
    <t>Questions Pierre</t>
  </si>
  <si>
    <t>To do</t>
  </si>
  <si>
    <t>Seuil charge à la roue min - éq. spéciaux</t>
  </si>
  <si>
    <t>porteurs, engins de débardage combinés et débusqueurs</t>
  </si>
  <si>
    <r>
      <t xml:space="preserve">Robots de plantations ? </t>
    </r>
    <r>
      <rPr>
        <b/>
        <sz val="11"/>
        <color rgb="FFFF0000"/>
        <rFont val="Calibri"/>
        <family val="2"/>
        <scheme val="minor"/>
      </rPr>
      <t>Porteur ou tracteur</t>
    </r>
    <r>
      <rPr>
        <sz val="11"/>
        <color theme="0"/>
        <rFont val="Calibri"/>
        <family val="2"/>
        <scheme val="minor"/>
      </rPr>
      <t xml:space="preserve">
</t>
    </r>
  </si>
  <si>
    <t xml:space="preserve">Deux versions: une avec 2 sortes de roues, et une avec 3 sortes de roues
</t>
  </si>
  <si>
    <t>Seuil charge à la roue max</t>
  </si>
  <si>
    <t>Seuil PSS min - hors éq. spéciaux</t>
  </si>
  <si>
    <t>kg/cm2</t>
  </si>
  <si>
    <t>hors porteurs et engins de débardage combinés</t>
  </si>
  <si>
    <t>Seuil PSS min - éq. spéciaux</t>
  </si>
  <si>
    <t>porteurs et engins de débardage combinés</t>
  </si>
  <si>
    <t>Seuil PSS max</t>
  </si>
  <si>
    <t>Seuil pneus</t>
  </si>
  <si>
    <t>mm</t>
  </si>
  <si>
    <t>Taux d'aides - Catégorie 1</t>
  </si>
  <si>
    <t>Bonifié</t>
  </si>
  <si>
    <t>Réduit</t>
  </si>
  <si>
    <t>Machines de bûcheronnage sur roues munies de tête d'abattage ou d'outils sylvicole</t>
  </si>
  <si>
    <t>Eq. Spéciaux CaR ?</t>
  </si>
  <si>
    <t>Non</t>
  </si>
  <si>
    <t>Taux d'aide maximaux applicables en France hexagonale et DROM (hors Guyane)</t>
  </si>
  <si>
    <t>Charge à la roue (tonne/roue)</t>
  </si>
  <si>
    <t>Eq. Spéciaux PSS ?</t>
  </si>
  <si>
    <t>France hexagonale</t>
  </si>
  <si>
    <t>DROM (hors Guyane)</t>
  </si>
  <si>
    <t>Bonification et éligibilité</t>
  </si>
  <si>
    <t>Pression statique au sol (kg/cm2)</t>
  </si>
  <si>
    <t>Non élig.</t>
  </si>
  <si>
    <t>Machines de bucheronnage sur chenilles, mini-pelles munies d'un outils sylvicole, et  broyeurs chenillés (automoteurs telécommandés ou avec cabine - masse maximale 12 tonnes)</t>
  </si>
  <si>
    <t>Porteurs forestiers sur roue et  engins de débardage combinés</t>
  </si>
  <si>
    <t>Oui</t>
  </si>
  <si>
    <t>Porteurs forestiers chenillés</t>
  </si>
  <si>
    <t>Tracteurs agricoles blindés forestiers et des ensembles tracteur +  remorque  forestière + grue</t>
  </si>
  <si>
    <t xml:space="preserve">Taux d'aide maximaux applicables en France hexagonale et DROM </t>
  </si>
  <si>
    <t>Largeur des pneumatiques équipés</t>
  </si>
  <si>
    <t>Débusqueurs à grue ou à cable</t>
  </si>
  <si>
    <t>Taux d'aide maximaux applicables en France hexagonale et DROM</t>
  </si>
  <si>
    <t>GUYANE</t>
  </si>
  <si>
    <t>Seuil PSS min</t>
  </si>
  <si>
    <t>Taux d'aide maximaux applicables</t>
  </si>
  <si>
    <t>Machines de bucheronnage sur chenilles, porteurs forestiers chenillés, mini-pelles munies d'un outils sylvicole, et  broyeurs chenillés (automoteurs telécommandés ou avec cabine - masse maximale 12 tonnes)</t>
  </si>
  <si>
    <t>Porteurs forestiers sur roues et  engins de débardage combinés</t>
  </si>
  <si>
    <t>Equipements spéciaux CàR ?</t>
  </si>
  <si>
    <t>Equipements spéciaux PSS ?</t>
  </si>
  <si>
    <t>Indiff</t>
  </si>
  <si>
    <t>Départements</t>
  </si>
  <si>
    <t xml:space="preserve">DROM ? </t>
  </si>
  <si>
    <t>Type entreprise</t>
  </si>
  <si>
    <t>Catégories</t>
  </si>
  <si>
    <t>Occasion ?</t>
  </si>
  <si>
    <t>Roues ?</t>
  </si>
  <si>
    <t>Oui ?</t>
  </si>
  <si>
    <t>1 - Ain</t>
  </si>
  <si>
    <t>Catégorie 1 : Machines d’exploitation et de sylviculture couramment utilisées</t>
  </si>
  <si>
    <t>Neuf</t>
  </si>
  <si>
    <t>Roues</t>
  </si>
  <si>
    <t>2 - Aisne</t>
  </si>
  <si>
    <t>Catégorie 2 : Dispositifs alternatifs de débardage garantissant un respect des sols optimal</t>
  </si>
  <si>
    <t>Occasion</t>
  </si>
  <si>
    <t>Chenilles</t>
  </si>
  <si>
    <t>3 - Allier</t>
  </si>
  <si>
    <t xml:space="preserve">Catégorie 3 : Equipements divers </t>
  </si>
  <si>
    <t>Veuillez préciser</t>
  </si>
  <si>
    <t>4 - Alpes-de-Haute-Provence</t>
  </si>
  <si>
    <t>Catégorie 4 : Outils et logiciels numériques et de cartographie</t>
  </si>
  <si>
    <t>5 - Hautes-Alpes</t>
  </si>
  <si>
    <t xml:space="preserve">Catégorie 5 : Matériel de plantation et de préparation et entretien des parcelles renouvelées </t>
  </si>
  <si>
    <t>6 - Alpes-Maritimes</t>
  </si>
  <si>
    <t>7 - Ardèche</t>
  </si>
  <si>
    <t>8 - Ardennes</t>
  </si>
  <si>
    <t>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</si>
  <si>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</si>
  <si>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</si>
  <si>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</si>
  <si>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</si>
  <si>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</si>
  <si>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</si>
  <si>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</si>
  <si>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</si>
  <si>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</si>
  <si>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</si>
  <si>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</si>
  <si>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</si>
  <si>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Côte-d'Or</t>
  </si>
  <si>
    <t>22 - Côtes d'Armor</t>
  </si>
  <si>
    <t>23 - Creuse</t>
  </si>
  <si>
    <t>24 - Dordogne</t>
  </si>
  <si>
    <t>25 - Doubs</t>
  </si>
  <si>
    <t>26 - Drôme</t>
  </si>
  <si>
    <t>27 - Eure</t>
  </si>
  <si>
    <t>28 - Eure-et-Loir</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</si>
  <si>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</si>
  <si>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</si>
  <si>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</si>
  <si>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</si>
  <si>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</si>
  <si>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</si>
  <si>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</si>
  <si>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</si>
  <si>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</si>
  <si>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</si>
  <si>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</si>
  <si>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</si>
  <si>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</si>
  <si>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</si>
  <si>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</si>
  <si>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</si>
  <si>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</si>
  <si>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</si>
  <si>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</si>
  <si>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</si>
  <si>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</si>
  <si>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</si>
  <si>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</si>
  <si>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</si>
  <si>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</si>
  <si>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</si>
  <si>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</si>
  <si>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</si>
  <si>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</si>
  <si>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</si>
  <si>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</si>
  <si>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</si>
  <si>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</si>
  <si>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</si>
  <si>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</si>
  <si>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</si>
  <si>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</si>
  <si>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</si>
  <si>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</si>
  <si>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</si>
  <si>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</si>
  <si>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</si>
  <si>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</si>
  <si>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</si>
  <si>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</si>
  <si>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</si>
  <si>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</si>
  <si>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</si>
  <si>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</si>
  <si>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</si>
  <si>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</si>
  <si>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</si>
  <si>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</si>
  <si>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</si>
  <si>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</si>
  <si>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</si>
  <si>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</si>
  <si>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</si>
  <si>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</si>
  <si>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</si>
  <si>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</si>
  <si>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</si>
  <si>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</si>
  <si>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</si>
  <si>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Seine-St-Denis</t>
  </si>
  <si>
    <t>94 - Val-de-Marne</t>
  </si>
  <si>
    <t>95 - Val-D'Oise</t>
  </si>
  <si>
    <t>971 - Guadeloupe</t>
  </si>
  <si>
    <t>972 - Martinique</t>
  </si>
  <si>
    <t>973 - Guyane</t>
  </si>
  <si>
    <t>974 - La Réunion</t>
  </si>
  <si>
    <t>976 - Mayotte</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</si>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</sst>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quot; kg&quot;"/>
    <numFmt numFmtId="165" formatCode="#,##0&quot; mm&quot;"/>
    <numFmt numFmtId="166" formatCode="0.0&quot; pouces&quot;"/>
    <numFmt numFmtId="167" formatCode="#,##0.00&quot; &quot;[$€-40C]"/>
    <numFmt numFmtId="168" formatCode="&quot; &quot;* #,##0.00&quot; &quot;[$€-40C]&quot; &quot;;&quot;-&quot;* #,##0.00&quot; &quot;[$€-40C]&quot; &quot;;&quot; &quot;* &quot;-&quot;#&quot; &quot;[$€-40C]&quot; &quot;;&quot; &quot;@&quot; &quot;"/>
    <numFmt numFmtId="169" formatCode="&quot; &quot;* #,##0.00&quot;   &quot;;&quot;-&quot;* #,##0.00&quot;   &quot;;&quot; &quot;* &quot;-&quot;#&quot;   &quot;;&quot; &quot;@&quot; &quot;"/>
    <numFmt numFmtId="170" formatCode="#,##0.00&quot; € HT&quot;"/>
    <numFmt numFmtId="171" formatCode="0.0"/>
  </numFmts>
  <fonts count="30"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u/>
      <sz val="11"/>
      <color rgb="FF0000FF"/>
      <name val="Calibri"/>
      <family val="2"/>
    </font>
    <font>
      <sz val="10"/>
      <color rgb="FF000000"/>
      <name val="Arial"/>
      <family val="2"/>
    </font>
    <font>
      <sz val="11"/>
      <color theme="0"/>
      <name val="Calibri"/>
      <family val="2"/>
    </font>
    <font>
      <b/>
      <sz val="11"/>
      <color theme="0"/>
      <name val="Calibri"/>
      <family val="2"/>
      <scheme val="minor"/>
    </font>
    <font>
      <sz val="11"/>
      <color theme="1"/>
      <name val="Calibri"/>
      <family val="2"/>
    </font>
    <font>
      <b/>
      <sz val="11"/>
      <color theme="0"/>
      <name val="Calibri"/>
      <family val="2"/>
    </font>
    <font>
      <sz val="11"/>
      <color rgb="FF000000"/>
      <name val="Calibri"/>
      <family val="2"/>
      <scheme val="minor"/>
    </font>
    <font>
      <sz val="11"/>
      <name val="Calibri"/>
      <family val="2"/>
    </font>
    <font>
      <b/>
      <sz val="11"/>
      <name val="Calibri"/>
      <family val="2"/>
    </font>
    <font>
      <sz val="16"/>
      <name val="Calibri"/>
      <family val="2"/>
    </font>
    <font>
      <b/>
      <i/>
      <sz val="11"/>
      <color rgb="FFFF0000"/>
      <name val="Calibri"/>
      <family val="2"/>
    </font>
    <font>
      <i/>
      <sz val="11"/>
      <name val="Calibri"/>
      <family val="2"/>
    </font>
    <font>
      <i/>
      <sz val="11"/>
      <color rgb="FF000000"/>
      <name val="Calibri"/>
      <family val="2"/>
    </font>
    <font>
      <b/>
      <sz val="16"/>
      <color theme="0"/>
      <name val="Calibri"/>
      <family val="2"/>
    </font>
    <font>
      <b/>
      <i/>
      <sz val="11"/>
      <color theme="0"/>
      <name val="Calibri"/>
      <family val="2"/>
    </font>
    <font>
      <sz val="11"/>
      <color theme="0"/>
      <name val="Calibri"/>
      <family val="2"/>
      <scheme val="minor"/>
    </font>
    <font>
      <b/>
      <sz val="11"/>
      <color theme="1"/>
      <name val="Calibri"/>
      <family val="2"/>
      <scheme val="minor"/>
    </font>
    <font>
      <b/>
      <sz val="11"/>
      <color theme="4"/>
      <name val="Calibri"/>
      <family val="2"/>
      <scheme val="minor"/>
    </font>
    <font>
      <b/>
      <sz val="11"/>
      <name val="Calibri"/>
      <family val="2"/>
      <scheme val="minor"/>
    </font>
    <font>
      <b/>
      <sz val="11"/>
      <color rgb="FFFF0000"/>
      <name val="Calibri"/>
      <family val="2"/>
      <scheme val="minor"/>
    </font>
    <font>
      <i/>
      <sz val="11"/>
      <color theme="1"/>
      <name val="Calibri"/>
      <family val="2"/>
    </font>
    <font>
      <b/>
      <sz val="18"/>
      <color theme="0"/>
      <name val="Arial"/>
      <family val="2"/>
    </font>
    <font>
      <i/>
      <sz val="10"/>
      <color theme="1"/>
      <name val="Calibri"/>
      <family val="2"/>
      <scheme val="minor"/>
    </font>
    <font>
      <u/>
      <sz val="11"/>
      <color theme="1"/>
      <name val="Calibri"/>
      <family val="2"/>
      <scheme val="minor"/>
    </font>
    <font>
      <u/>
      <sz val="11"/>
      <color theme="4"/>
      <name val="Calibri"/>
      <family val="2"/>
    </font>
  </fonts>
  <fills count="47">
    <fill>
      <patternFill patternType="none"/>
    </fill>
    <fill>
      <patternFill patternType="gray125"/>
    </fill>
    <fill>
      <patternFill patternType="solid">
        <fgColor rgb="FF525252"/>
        <bgColor rgb="FF525252"/>
      </patternFill>
    </fill>
    <fill>
      <patternFill patternType="solid">
        <fgColor rgb="FFDDEBF7"/>
        <bgColor rgb="FFDDEBF7"/>
      </patternFill>
    </fill>
    <fill>
      <patternFill patternType="solid">
        <fgColor theme="0"/>
        <bgColor indexed="64"/>
      </patternFill>
    </fill>
    <fill>
      <patternFill patternType="solid">
        <fgColor theme="0"/>
        <bgColor rgb="FFE41D13"/>
      </patternFill>
    </fill>
    <fill>
      <patternFill patternType="solid">
        <fgColor theme="0"/>
        <bgColor rgb="FFFFFF00"/>
      </patternFill>
    </fill>
    <fill>
      <patternFill patternType="solid">
        <fgColor theme="0"/>
        <bgColor rgb="FFF2F2F2"/>
      </patternFill>
    </fill>
    <fill>
      <patternFill patternType="solid">
        <fgColor theme="4"/>
        <bgColor indexed="64"/>
      </patternFill>
    </fill>
    <fill>
      <patternFill patternType="solid">
        <fgColor theme="0"/>
        <bgColor rgb="FFFFFFFF"/>
      </patternFill>
    </fill>
    <fill>
      <patternFill patternType="solid">
        <fgColor rgb="FFFFFF00"/>
        <bgColor indexed="64"/>
      </patternFill>
    </fill>
    <fill>
      <patternFill patternType="solid">
        <fgColor theme="5"/>
        <bgColor rgb="FF1F497D"/>
      </patternFill>
    </fill>
    <fill>
      <patternFill patternType="solid">
        <fgColor theme="5"/>
        <bgColor indexed="64"/>
      </patternFill>
    </fill>
    <fill>
      <patternFill patternType="solid">
        <fgColor theme="4"/>
        <bgColor rgb="FFFFFF00"/>
      </patternFill>
    </fill>
    <fill>
      <patternFill patternType="solid">
        <fgColor theme="4" tint="-0.499984740745262"/>
        <bgColor rgb="FFE41D13"/>
      </patternFill>
    </fill>
    <fill>
      <patternFill patternType="solid">
        <fgColor theme="5" tint="0.39997558519241921"/>
        <bgColor rgb="FFFFFF00"/>
      </patternFill>
    </fill>
    <fill>
      <patternFill patternType="solid">
        <fgColor theme="4" tint="-0.499984740745262"/>
        <bgColor rgb="FFF2F2F2"/>
      </patternFill>
    </fill>
    <fill>
      <patternFill patternType="solid">
        <fgColor theme="4" tint="-0.499984740745262"/>
        <bgColor rgb="FFD9D9D9"/>
      </patternFill>
    </fill>
    <fill>
      <patternFill patternType="solid">
        <fgColor theme="4" tint="-0.499984740745262"/>
        <bgColor rgb="FFFFFF00"/>
      </patternFill>
    </fill>
    <fill>
      <patternFill patternType="solid">
        <fgColor theme="7" tint="0.39997558519241921"/>
        <bgColor rgb="FFFFFF00"/>
      </patternFill>
    </fill>
    <fill>
      <patternFill patternType="solid">
        <fgColor theme="7" tint="0.39997558519241921"/>
        <bgColor rgb="FFDDEBF7"/>
      </patternFill>
    </fill>
    <fill>
      <patternFill patternType="solid">
        <fgColor theme="7" tint="0.39997558519241921"/>
        <bgColor rgb="FFD9D9D9"/>
      </patternFill>
    </fill>
    <fill>
      <patternFill patternType="solid">
        <fgColor theme="4" tint="0.59999389629810485"/>
        <bgColor rgb="FFDDEBF7"/>
      </patternFill>
    </fill>
    <fill>
      <patternFill patternType="solid">
        <fgColor theme="3" tint="0.59999389629810485"/>
        <bgColor rgb="FFDDEBF7"/>
      </patternFill>
    </fill>
    <fill>
      <patternFill patternType="solid">
        <fgColor theme="3" tint="0.59999389629810485"/>
        <bgColor indexed="64"/>
      </patternFill>
    </fill>
    <fill>
      <patternFill patternType="solid">
        <fgColor theme="1"/>
        <bgColor indexed="64"/>
      </patternFill>
    </fill>
    <fill>
      <patternFill patternType="solid">
        <fgColor theme="5" tint="0.39997558519241921"/>
        <bgColor indexed="64"/>
      </patternFill>
    </fill>
    <fill>
      <patternFill patternType="solid">
        <fgColor theme="0"/>
        <bgColor rgb="FFDDEBF7"/>
      </patternFill>
    </fill>
    <fill>
      <patternFill patternType="solid">
        <fgColor rgb="FFFF0000"/>
        <bgColor indexed="64"/>
      </patternFill>
    </fill>
    <fill>
      <patternFill patternType="solid">
        <fgColor rgb="FFC00000"/>
        <bgColor indexed="64"/>
      </patternFill>
    </fill>
    <fill>
      <patternFill patternType="solid">
        <fgColor theme="7" tint="0.39997558519241921"/>
        <bgColor indexed="64"/>
      </patternFill>
    </fill>
    <fill>
      <patternFill patternType="solid">
        <fgColor theme="9" tint="0.39997558519241921"/>
        <bgColor rgb="FFDDEBF7"/>
      </patternFill>
    </fill>
    <fill>
      <patternFill patternType="solid">
        <fgColor theme="7" tint="0.79998168889431442"/>
        <bgColor rgb="FFDDEBF7"/>
      </patternFill>
    </fill>
    <fill>
      <patternFill patternType="solid">
        <fgColor rgb="FF00B050"/>
        <bgColor indexed="64"/>
      </patternFill>
    </fill>
    <fill>
      <patternFill patternType="solid">
        <fgColor theme="9" tint="-0.499984740745262"/>
        <bgColor indexed="64"/>
      </patternFill>
    </fill>
    <fill>
      <patternFill patternType="solid">
        <fgColor rgb="FF7030A0"/>
        <bgColor indexed="64"/>
      </patternFill>
    </fill>
    <fill>
      <patternFill patternType="solid">
        <fgColor theme="2" tint="-0.89999084444715716"/>
        <bgColor indexed="64"/>
      </patternFill>
    </fill>
    <fill>
      <patternFill patternType="solid">
        <fgColor theme="4" tint="0.59999389629810485"/>
        <bgColor indexed="64"/>
      </patternFill>
    </fill>
    <fill>
      <patternFill patternType="solid">
        <fgColor theme="4"/>
        <bgColor rgb="FFD9D9D9"/>
      </patternFill>
    </fill>
    <fill>
      <patternFill patternType="solid">
        <fgColor rgb="FF525252"/>
        <bgColor indexed="64"/>
      </patternFill>
    </fill>
    <fill>
      <patternFill patternType="solid">
        <fgColor theme="5" tint="0.39997558519241921"/>
        <bgColor rgb="FFDDEBF7"/>
      </patternFill>
    </fill>
    <fill>
      <patternFill patternType="solid">
        <fgColor theme="7" tint="-0.249977111117893"/>
        <bgColor rgb="FF1F497D"/>
      </patternFill>
    </fill>
    <fill>
      <patternFill patternType="solid">
        <fgColor theme="7" tint="-0.249977111117893"/>
        <bgColor indexed="64"/>
      </patternFill>
    </fill>
    <fill>
      <patternFill patternType="solid">
        <fgColor theme="2" tint="-0.249977111117893"/>
        <bgColor indexed="64"/>
      </patternFill>
    </fill>
    <fill>
      <patternFill patternType="solid">
        <fgColor theme="2" tint="-0.249977111117893"/>
        <bgColor rgb="FFDDEBF7"/>
      </patternFill>
    </fill>
    <fill>
      <patternFill patternType="solid">
        <fgColor theme="3" tint="-0.249977111117893"/>
        <bgColor theme="4" tint="0.79998168889431442"/>
      </patternFill>
    </fill>
    <fill>
      <patternFill patternType="solid">
        <fgColor theme="0" tint="-4.9989318521683403E-2"/>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6">
    <xf numFmtId="0" fontId="0" fillId="0" borderId="0"/>
    <xf numFmtId="9" fontId="4" fillId="0" borderId="0" applyFont="0" applyFill="0" applyBorder="0" applyAlignment="0" applyProtection="0"/>
    <xf numFmtId="0" fontId="4" fillId="2" borderId="0" applyNumberFormat="0" applyFont="0" applyBorder="0" applyAlignment="0" applyProtection="0"/>
    <xf numFmtId="0" fontId="4" fillId="3" borderId="0" applyNumberFormat="0" applyFont="0" applyBorder="0" applyAlignment="0" applyProtection="0"/>
    <xf numFmtId="0" fontId="4" fillId="2" borderId="0" applyNumberFormat="0" applyFont="0" applyBorder="0" applyAlignment="0" applyProtection="0"/>
    <xf numFmtId="0" fontId="4" fillId="2" borderId="0" applyNumberFormat="0" applyFont="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5" fillId="0" borderId="0" applyNumberFormat="0" applyFill="0" applyBorder="0" applyAlignment="0" applyProtection="0"/>
    <xf numFmtId="169" fontId="4" fillId="0" borderId="0" applyFont="0" applyFill="0" applyBorder="0" applyAlignment="0" applyProtection="0"/>
    <xf numFmtId="0" fontId="6" fillId="0" borderId="0" applyNumberFormat="0" applyBorder="0" applyProtection="0"/>
    <xf numFmtId="0" fontId="4" fillId="0" borderId="0" applyNumberFormat="0" applyFont="0" applyBorder="0" applyProtection="0"/>
    <xf numFmtId="9" fontId="4" fillId="0" borderId="0" applyFont="0" applyFill="0" applyBorder="0" applyAlignment="0" applyProtection="0"/>
    <xf numFmtId="44" fontId="4" fillId="0" borderId="0" applyFont="0" applyFill="0" applyBorder="0" applyAlignment="0" applyProtection="0"/>
    <xf numFmtId="0" fontId="3" fillId="0" borderId="0"/>
    <xf numFmtId="0" fontId="1" fillId="0" borderId="0"/>
  </cellStyleXfs>
  <cellXfs count="200">
    <xf numFmtId="0" fontId="0" fillId="0" borderId="0" xfId="0"/>
    <xf numFmtId="0" fontId="0" fillId="4" borderId="0" xfId="0" applyFill="1"/>
    <xf numFmtId="0" fontId="10" fillId="8" borderId="6" xfId="0" applyFont="1" applyFill="1" applyBorder="1" applyAlignment="1">
      <alignment horizontal="center" vertical="center"/>
    </xf>
    <xf numFmtId="0" fontId="12" fillId="4" borderId="0" xfId="0" applyFont="1" applyFill="1" applyAlignment="1">
      <alignment vertical="center"/>
    </xf>
    <xf numFmtId="0" fontId="13" fillId="7" borderId="0" xfId="0" applyFont="1" applyFill="1" applyAlignment="1">
      <alignment horizontal="left" vertical="center"/>
    </xf>
    <xf numFmtId="0" fontId="13" fillId="5" borderId="0" xfId="0" applyFont="1" applyFill="1" applyAlignment="1">
      <alignment vertical="center"/>
    </xf>
    <xf numFmtId="0" fontId="10" fillId="13" borderId="4" xfId="0" applyFont="1" applyFill="1" applyBorder="1" applyAlignment="1">
      <alignment horizontal="center" vertical="center" wrapText="1"/>
    </xf>
    <xf numFmtId="0" fontId="16" fillId="9" borderId="0" xfId="0" applyFont="1" applyFill="1" applyAlignment="1">
      <alignment horizontal="center" vertical="center" wrapText="1"/>
    </xf>
    <xf numFmtId="0" fontId="0" fillId="4" borderId="0" xfId="0" applyFill="1" applyAlignment="1">
      <alignment vertical="center"/>
    </xf>
    <xf numFmtId="0" fontId="12" fillId="7" borderId="0" xfId="0" applyFont="1" applyFill="1" applyAlignment="1">
      <alignment vertical="center"/>
    </xf>
    <xf numFmtId="0" fontId="12" fillId="4" borderId="0" xfId="0" applyFont="1" applyFill="1" applyAlignment="1">
      <alignment vertical="center" wrapText="1"/>
    </xf>
    <xf numFmtId="0" fontId="13" fillId="4" borderId="0" xfId="0" applyFont="1" applyFill="1" applyAlignment="1">
      <alignment horizontal="right" vertical="center" wrapText="1"/>
    </xf>
    <xf numFmtId="0" fontId="15" fillId="6" borderId="0" xfId="0" applyFont="1" applyFill="1" applyAlignment="1">
      <alignment horizontal="left" vertical="center"/>
    </xf>
    <xf numFmtId="0" fontId="12" fillId="6" borderId="0" xfId="0" applyFont="1" applyFill="1" applyAlignment="1">
      <alignment vertical="center"/>
    </xf>
    <xf numFmtId="0" fontId="10" fillId="8" borderId="6" xfId="0" applyFont="1" applyFill="1" applyBorder="1" applyAlignment="1">
      <alignment horizontal="right" vertical="center" wrapText="1"/>
    </xf>
    <xf numFmtId="0" fontId="18" fillId="11" borderId="7" xfId="0" applyFont="1" applyFill="1" applyBorder="1" applyAlignment="1">
      <alignment vertical="center"/>
    </xf>
    <xf numFmtId="0" fontId="18" fillId="11" borderId="9" xfId="0" applyFont="1" applyFill="1" applyBorder="1" applyAlignment="1">
      <alignment vertical="center"/>
    </xf>
    <xf numFmtId="0" fontId="14" fillId="12" borderId="9" xfId="0" applyFont="1" applyFill="1" applyBorder="1" applyAlignment="1">
      <alignment vertical="center"/>
    </xf>
    <xf numFmtId="0" fontId="10" fillId="16" borderId="4" xfId="0" applyFont="1" applyFill="1" applyBorder="1" applyAlignment="1">
      <alignment horizontal="center" vertical="center" wrapText="1"/>
    </xf>
    <xf numFmtId="0" fontId="19" fillId="17" borderId="4" xfId="0" applyFont="1" applyFill="1" applyBorder="1" applyAlignment="1">
      <alignment horizontal="center" vertical="center" wrapText="1"/>
    </xf>
    <xf numFmtId="0" fontId="19" fillId="17" borderId="3"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6" borderId="4" xfId="0" applyFont="1" applyFill="1" applyBorder="1" applyAlignment="1">
      <alignment horizontal="center" vertical="center"/>
    </xf>
    <xf numFmtId="167" fontId="13" fillId="19" borderId="1" xfId="0" applyNumberFormat="1" applyFont="1" applyFill="1" applyBorder="1" applyAlignment="1">
      <alignment horizontal="center" vertical="center" wrapText="1"/>
    </xf>
    <xf numFmtId="9" fontId="13" fillId="19" borderId="1" xfId="1" applyFont="1" applyFill="1" applyBorder="1" applyAlignment="1" applyProtection="1">
      <alignment horizontal="center" vertical="center" wrapText="1"/>
    </xf>
    <xf numFmtId="0" fontId="12" fillId="20" borderId="6" xfId="0" applyFont="1" applyFill="1" applyBorder="1" applyAlignment="1">
      <alignment vertical="center"/>
    </xf>
    <xf numFmtId="0" fontId="17" fillId="21" borderId="1" xfId="0" applyFont="1" applyFill="1" applyBorder="1" applyAlignment="1">
      <alignment horizontal="center" vertical="center" wrapText="1"/>
    </xf>
    <xf numFmtId="167" fontId="17" fillId="21" borderId="1" xfId="0" applyNumberFormat="1" applyFont="1" applyFill="1" applyBorder="1" applyAlignment="1">
      <alignment horizontal="center" vertical="center" wrapText="1"/>
    </xf>
    <xf numFmtId="167" fontId="0" fillId="19" borderId="1" xfId="0" applyNumberFormat="1" applyFill="1" applyBorder="1" applyAlignment="1">
      <alignment horizontal="center" vertical="center" wrapText="1"/>
    </xf>
    <xf numFmtId="0" fontId="12" fillId="22" borderId="6" xfId="0" applyFont="1" applyFill="1" applyBorder="1" applyAlignment="1">
      <alignment vertical="center"/>
    </xf>
    <xf numFmtId="0" fontId="9" fillId="23" borderId="5" xfId="0" applyFont="1" applyFill="1" applyBorder="1" applyAlignment="1">
      <alignment vertical="center" wrapText="1"/>
    </xf>
    <xf numFmtId="0" fontId="9" fillId="23" borderId="1" xfId="0" applyFont="1" applyFill="1" applyBorder="1" applyAlignment="1">
      <alignment horizontal="center" vertical="center"/>
    </xf>
    <xf numFmtId="0" fontId="9" fillId="24" borderId="1" xfId="0" applyFont="1" applyFill="1" applyBorder="1" applyAlignment="1">
      <alignment horizontal="center" vertical="center"/>
    </xf>
    <xf numFmtId="164" fontId="9" fillId="24" borderId="1" xfId="0" applyNumberFormat="1" applyFont="1" applyFill="1" applyBorder="1" applyAlignment="1">
      <alignment horizontal="center" vertical="center"/>
    </xf>
    <xf numFmtId="165" fontId="0" fillId="24" borderId="1" xfId="0" applyNumberFormat="1" applyFill="1" applyBorder="1" applyAlignment="1">
      <alignment horizontal="center" vertical="center"/>
    </xf>
    <xf numFmtId="9" fontId="0" fillId="24" borderId="1" xfId="1" applyFont="1" applyFill="1" applyBorder="1" applyAlignment="1" applyProtection="1">
      <alignment horizontal="center" vertical="center"/>
    </xf>
    <xf numFmtId="166" fontId="0" fillId="24" borderId="1" xfId="0" applyNumberFormat="1" applyFill="1" applyBorder="1" applyAlignment="1">
      <alignment horizontal="center" vertical="center"/>
    </xf>
    <xf numFmtId="0" fontId="17" fillId="21" borderId="4" xfId="0" applyFont="1" applyFill="1" applyBorder="1" applyAlignment="1">
      <alignment horizontal="center" vertical="center" wrapText="1"/>
    </xf>
    <xf numFmtId="0" fontId="19" fillId="17" borderId="6" xfId="0" applyFont="1" applyFill="1" applyBorder="1" applyAlignment="1">
      <alignment horizontal="center" vertical="center" wrapText="1"/>
    </xf>
    <xf numFmtId="0" fontId="3" fillId="4" borderId="6" xfId="14" applyFill="1" applyBorder="1" applyAlignment="1">
      <alignment vertical="center" wrapText="1"/>
    </xf>
    <xf numFmtId="0" fontId="3" fillId="4" borderId="0" xfId="14" applyFill="1" applyAlignment="1">
      <alignment horizontal="center" vertical="center"/>
    </xf>
    <xf numFmtId="0" fontId="3" fillId="4" borderId="0" xfId="14" applyFill="1" applyAlignment="1">
      <alignment vertical="center"/>
    </xf>
    <xf numFmtId="0" fontId="3" fillId="4" borderId="0" xfId="14" applyFill="1" applyAlignment="1">
      <alignment vertical="center" wrapText="1"/>
    </xf>
    <xf numFmtId="0" fontId="8" fillId="8" borderId="6" xfId="0" applyFont="1" applyFill="1" applyBorder="1" applyAlignment="1">
      <alignment horizontal="center" vertical="center" wrapText="1"/>
    </xf>
    <xf numFmtId="0" fontId="11" fillId="4" borderId="6" xfId="0" applyFont="1" applyFill="1" applyBorder="1" applyAlignment="1">
      <alignment vertical="center" wrapText="1"/>
    </xf>
    <xf numFmtId="170" fontId="0" fillId="23" borderId="1" xfId="0" applyNumberFormat="1" applyFill="1" applyBorder="1" applyAlignment="1">
      <alignment vertical="center"/>
    </xf>
    <xf numFmtId="0" fontId="10" fillId="8" borderId="6" xfId="0" applyFont="1" applyFill="1" applyBorder="1" applyAlignment="1">
      <alignment horizontal="center" vertical="center" wrapText="1"/>
    </xf>
    <xf numFmtId="170" fontId="0" fillId="27" borderId="1" xfId="0" applyNumberFormat="1" applyFill="1" applyBorder="1" applyAlignment="1">
      <alignment horizontal="center" vertical="center" wrapText="1"/>
    </xf>
    <xf numFmtId="0" fontId="2" fillId="0" borderId="0" xfId="14" applyFont="1" applyAlignment="1">
      <alignment vertical="center" wrapText="1"/>
    </xf>
    <xf numFmtId="0" fontId="2" fillId="0" borderId="0" xfId="14" applyFont="1" applyAlignment="1">
      <alignment vertical="center"/>
    </xf>
    <xf numFmtId="0" fontId="8" fillId="8" borderId="6" xfId="14" applyFont="1" applyFill="1" applyBorder="1" applyAlignment="1">
      <alignment horizontal="center" vertical="center"/>
    </xf>
    <xf numFmtId="0" fontId="8" fillId="8" borderId="6" xfId="14" applyFont="1" applyFill="1" applyBorder="1" applyAlignment="1">
      <alignment vertical="center" wrapText="1"/>
    </xf>
    <xf numFmtId="0" fontId="8" fillId="8" borderId="6" xfId="14" applyFont="1" applyFill="1" applyBorder="1" applyAlignment="1">
      <alignment vertical="center"/>
    </xf>
    <xf numFmtId="0" fontId="22" fillId="0" borderId="6" xfId="14" applyFont="1" applyBorder="1" applyAlignment="1">
      <alignment vertical="center" wrapText="1"/>
    </xf>
    <xf numFmtId="0" fontId="22" fillId="0" borderId="6" xfId="14" applyFont="1" applyBorder="1" applyAlignment="1">
      <alignment horizontal="center" vertical="center" wrapText="1"/>
    </xf>
    <xf numFmtId="0" fontId="2" fillId="4" borderId="0" xfId="14" applyFont="1" applyFill="1" applyAlignment="1">
      <alignment vertical="center"/>
    </xf>
    <xf numFmtId="0" fontId="2" fillId="29" borderId="0" xfId="14" applyFont="1" applyFill="1" applyAlignment="1">
      <alignment vertical="center"/>
    </xf>
    <xf numFmtId="0" fontId="8" fillId="29" borderId="0" xfId="14" applyFont="1" applyFill="1" applyAlignment="1">
      <alignment vertical="center"/>
    </xf>
    <xf numFmtId="0" fontId="22" fillId="25" borderId="6" xfId="14" applyFont="1" applyFill="1" applyBorder="1" applyAlignment="1">
      <alignment vertical="center"/>
    </xf>
    <xf numFmtId="0" fontId="20" fillId="25" borderId="6" xfId="14" applyFont="1" applyFill="1" applyBorder="1" applyAlignment="1">
      <alignment vertical="center" wrapText="1"/>
    </xf>
    <xf numFmtId="0" fontId="22" fillId="0" borderId="7" xfId="14" applyFont="1" applyBorder="1" applyAlignment="1">
      <alignment vertical="center" wrapText="1"/>
    </xf>
    <xf numFmtId="0" fontId="22" fillId="25" borderId="7" xfId="14" applyFont="1" applyFill="1" applyBorder="1" applyAlignment="1">
      <alignment vertical="center"/>
    </xf>
    <xf numFmtId="9" fontId="12" fillId="22" borderId="6" xfId="1" applyFont="1" applyFill="1" applyBorder="1" applyAlignment="1">
      <alignment vertical="center"/>
    </xf>
    <xf numFmtId="171" fontId="12" fillId="22" borderId="6" xfId="1" applyNumberFormat="1" applyFont="1" applyFill="1" applyBorder="1" applyAlignment="1">
      <alignment vertical="center"/>
    </xf>
    <xf numFmtId="0" fontId="23" fillId="30" borderId="6" xfId="14" applyFont="1" applyFill="1" applyBorder="1" applyAlignment="1">
      <alignment horizontal="center" vertical="center"/>
    </xf>
    <xf numFmtId="171" fontId="12" fillId="22" borderId="6" xfId="1" applyNumberFormat="1" applyFont="1" applyFill="1" applyBorder="1" applyAlignment="1">
      <alignment horizontal="center" vertical="center"/>
    </xf>
    <xf numFmtId="0" fontId="21" fillId="30" borderId="6" xfId="14" applyFont="1" applyFill="1" applyBorder="1" applyAlignment="1">
      <alignment vertical="center"/>
    </xf>
    <xf numFmtId="1" fontId="12" fillId="22" borderId="6" xfId="1" applyNumberFormat="1" applyFont="1" applyFill="1" applyBorder="1" applyAlignment="1">
      <alignment vertical="center"/>
    </xf>
    <xf numFmtId="2" fontId="12" fillId="22" borderId="6" xfId="1" applyNumberFormat="1" applyFont="1" applyFill="1" applyBorder="1" applyAlignment="1">
      <alignment vertical="center"/>
    </xf>
    <xf numFmtId="9" fontId="12" fillId="31" borderId="6" xfId="1" applyFont="1" applyFill="1" applyBorder="1" applyAlignment="1">
      <alignment horizontal="center" vertical="center"/>
    </xf>
    <xf numFmtId="9" fontId="12" fillId="32" borderId="6" xfId="1" applyFont="1" applyFill="1" applyBorder="1" applyAlignment="1">
      <alignment horizontal="center" vertical="center"/>
    </xf>
    <xf numFmtId="9" fontId="12" fillId="20" borderId="6" xfId="1" applyFont="1" applyFill="1" applyBorder="1" applyAlignment="1">
      <alignment horizontal="center" vertical="center"/>
    </xf>
    <xf numFmtId="0" fontId="23" fillId="30" borderId="6" xfId="14" applyFont="1" applyFill="1" applyBorder="1" applyAlignment="1">
      <alignment horizontal="center" vertical="center" wrapText="1"/>
    </xf>
    <xf numFmtId="0" fontId="8" fillId="4" borderId="0" xfId="0" applyFont="1" applyFill="1" applyAlignment="1">
      <alignment horizontal="center" vertical="center"/>
    </xf>
    <xf numFmtId="0" fontId="8" fillId="8" borderId="6" xfId="0" applyFont="1" applyFill="1" applyBorder="1" applyAlignment="1">
      <alignment horizontal="center" vertical="center"/>
    </xf>
    <xf numFmtId="0" fontId="11" fillId="4" borderId="0" xfId="0" applyFont="1" applyFill="1" applyAlignment="1">
      <alignment vertical="center"/>
    </xf>
    <xf numFmtId="0" fontId="11" fillId="4" borderId="6" xfId="0" applyFont="1" applyFill="1" applyBorder="1" applyAlignment="1">
      <alignment vertical="center"/>
    </xf>
    <xf numFmtId="0" fontId="11" fillId="4" borderId="6" xfId="0" applyFont="1" applyFill="1" applyBorder="1" applyAlignment="1">
      <alignment horizontal="center" vertical="center"/>
    </xf>
    <xf numFmtId="0" fontId="11" fillId="10" borderId="6" xfId="0" applyFont="1" applyFill="1" applyBorder="1" applyAlignment="1">
      <alignment horizontal="center" vertical="center"/>
    </xf>
    <xf numFmtId="0" fontId="11" fillId="4" borderId="6" xfId="0" applyFont="1" applyFill="1" applyBorder="1" applyAlignment="1">
      <alignment horizontal="center" vertical="center" wrapText="1"/>
    </xf>
    <xf numFmtId="2" fontId="12" fillId="20" borderId="6" xfId="1" applyNumberFormat="1" applyFont="1" applyFill="1" applyBorder="1" applyAlignment="1">
      <alignment vertical="center"/>
    </xf>
    <xf numFmtId="9" fontId="17" fillId="21" borderId="1" xfId="1" applyFont="1" applyFill="1" applyBorder="1" applyAlignment="1" applyProtection="1">
      <alignment horizontal="center" vertical="center"/>
    </xf>
    <xf numFmtId="0" fontId="12" fillId="4" borderId="6" xfId="0" applyFont="1" applyFill="1" applyBorder="1" applyAlignment="1">
      <alignment horizontal="center" vertical="center"/>
    </xf>
    <xf numFmtId="2" fontId="12" fillId="4" borderId="6" xfId="0" applyNumberFormat="1" applyFont="1" applyFill="1" applyBorder="1" applyAlignment="1">
      <alignment horizontal="center" vertical="center"/>
    </xf>
    <xf numFmtId="1" fontId="12" fillId="4" borderId="6" xfId="0" applyNumberFormat="1" applyFont="1" applyFill="1" applyBorder="1" applyAlignment="1">
      <alignment horizontal="center" vertical="center"/>
    </xf>
    <xf numFmtId="0" fontId="19" fillId="38" borderId="6" xfId="0" applyFont="1" applyFill="1" applyBorder="1" applyAlignment="1">
      <alignment horizontal="center" vertical="center" wrapText="1"/>
    </xf>
    <xf numFmtId="164" fontId="9" fillId="39" borderId="1" xfId="0" applyNumberFormat="1" applyFont="1" applyFill="1" applyBorder="1" applyAlignment="1">
      <alignment horizontal="center" vertical="center"/>
    </xf>
    <xf numFmtId="9" fontId="12" fillId="20" borderId="6" xfId="1" applyFont="1" applyFill="1" applyBorder="1" applyAlignment="1">
      <alignment horizontal="left" vertical="center"/>
    </xf>
    <xf numFmtId="0" fontId="9" fillId="20" borderId="5" xfId="0" applyFont="1" applyFill="1" applyBorder="1" applyAlignment="1">
      <alignment horizontal="left" vertical="center" wrapText="1"/>
    </xf>
    <xf numFmtId="0" fontId="25" fillId="23" borderId="1" xfId="0" applyFont="1" applyFill="1" applyBorder="1" applyAlignment="1">
      <alignment horizontal="center" vertical="center" wrapText="1"/>
    </xf>
    <xf numFmtId="0" fontId="9" fillId="40" borderId="5" xfId="0" applyFont="1" applyFill="1" applyBorder="1" applyAlignment="1">
      <alignment horizontal="left" vertical="center" wrapText="1"/>
    </xf>
    <xf numFmtId="0" fontId="18" fillId="41" borderId="7" xfId="0" applyFont="1" applyFill="1" applyBorder="1" applyAlignment="1">
      <alignment vertical="center"/>
    </xf>
    <xf numFmtId="0" fontId="18" fillId="41" borderId="9" xfId="0" applyFont="1" applyFill="1" applyBorder="1" applyAlignment="1">
      <alignment vertical="center"/>
    </xf>
    <xf numFmtId="0" fontId="14" fillId="42" borderId="9" xfId="0" applyFont="1" applyFill="1" applyBorder="1" applyAlignment="1">
      <alignment vertical="center"/>
    </xf>
    <xf numFmtId="0" fontId="12" fillId="10" borderId="0" xfId="0" applyFont="1" applyFill="1" applyAlignment="1">
      <alignment vertical="center"/>
    </xf>
    <xf numFmtId="0" fontId="12" fillId="10" borderId="0" xfId="0" applyFont="1" applyFill="1" applyAlignment="1">
      <alignment vertical="center" wrapText="1"/>
    </xf>
    <xf numFmtId="170" fontId="0" fillId="20" borderId="1" xfId="0" applyNumberFormat="1" applyFill="1" applyBorder="1" applyAlignment="1">
      <alignment vertical="center"/>
    </xf>
    <xf numFmtId="1" fontId="0" fillId="23" borderId="1" xfId="0" applyNumberFormat="1" applyFill="1" applyBorder="1" applyAlignment="1">
      <alignment horizontal="center" vertical="center"/>
    </xf>
    <xf numFmtId="0" fontId="11" fillId="43" borderId="6" xfId="0" applyFont="1" applyFill="1" applyBorder="1" applyAlignment="1">
      <alignment horizontal="center" vertical="center" wrapText="1"/>
    </xf>
    <xf numFmtId="0" fontId="3" fillId="43" borderId="6" xfId="14" applyFill="1" applyBorder="1" applyAlignment="1">
      <alignment vertical="center" wrapText="1"/>
    </xf>
    <xf numFmtId="170" fontId="0" fillId="44" borderId="1" xfId="0" applyNumberFormat="1" applyFill="1" applyBorder="1" applyAlignment="1">
      <alignment horizontal="center" vertical="center" wrapText="1"/>
    </xf>
    <xf numFmtId="0" fontId="11" fillId="43" borderId="6" xfId="0" applyFont="1" applyFill="1" applyBorder="1" applyAlignment="1">
      <alignment vertical="center" wrapText="1"/>
    </xf>
    <xf numFmtId="1" fontId="9" fillId="39" borderId="1" xfId="0" applyNumberFormat="1" applyFont="1" applyFill="1" applyBorder="1" applyAlignment="1">
      <alignment horizontal="center" vertical="center"/>
    </xf>
    <xf numFmtId="9" fontId="9" fillId="39" borderId="1" xfId="1" applyFont="1" applyFill="1" applyBorder="1" applyAlignment="1">
      <alignment horizontal="center" vertical="center"/>
    </xf>
    <xf numFmtId="166" fontId="9" fillId="39" borderId="1" xfId="0" applyNumberFormat="1" applyFont="1" applyFill="1" applyBorder="1" applyAlignment="1">
      <alignment horizontal="center" vertical="center"/>
    </xf>
    <xf numFmtId="165" fontId="9" fillId="39" borderId="1" xfId="0" applyNumberFormat="1" applyFont="1" applyFill="1" applyBorder="1" applyAlignment="1">
      <alignment horizontal="center" vertical="center"/>
    </xf>
    <xf numFmtId="0" fontId="12" fillId="22" borderId="6" xfId="0" applyFont="1" applyFill="1" applyBorder="1" applyAlignment="1">
      <alignment horizontal="left" vertical="center"/>
    </xf>
    <xf numFmtId="0" fontId="1" fillId="0" borderId="0" xfId="15"/>
    <xf numFmtId="0" fontId="26" fillId="45" borderId="0" xfId="15" applyFont="1" applyFill="1" applyAlignment="1">
      <alignment vertical="center"/>
    </xf>
    <xf numFmtId="0" fontId="27" fillId="0" borderId="0" xfId="15" applyFont="1"/>
    <xf numFmtId="14" fontId="27" fillId="0" borderId="0" xfId="15" applyNumberFormat="1" applyFont="1"/>
    <xf numFmtId="0" fontId="21" fillId="0" borderId="0" xfId="15" applyFont="1"/>
    <xf numFmtId="0" fontId="28" fillId="0" borderId="0" xfId="15" applyFont="1"/>
    <xf numFmtId="0" fontId="5" fillId="0" borderId="0" xfId="8"/>
    <xf numFmtId="1" fontId="12" fillId="22" borderId="6" xfId="0" applyNumberFormat="1" applyFont="1" applyFill="1" applyBorder="1" applyAlignment="1">
      <alignment vertical="center"/>
    </xf>
    <xf numFmtId="0" fontId="1" fillId="29" borderId="0" xfId="14" applyFont="1" applyFill="1" applyAlignment="1">
      <alignment vertical="center"/>
    </xf>
    <xf numFmtId="0" fontId="1" fillId="4" borderId="0" xfId="14" applyFont="1" applyFill="1" applyAlignment="1">
      <alignment vertical="center"/>
    </xf>
    <xf numFmtId="0" fontId="1" fillId="4" borderId="0" xfId="14" applyFont="1" applyFill="1" applyAlignment="1">
      <alignment vertical="center" wrapText="1"/>
    </xf>
    <xf numFmtId="0" fontId="1" fillId="25" borderId="6" xfId="14" applyFont="1" applyFill="1" applyBorder="1" applyAlignment="1">
      <alignment vertical="center" wrapText="1"/>
    </xf>
    <xf numFmtId="9" fontId="1" fillId="30" borderId="6" xfId="14" applyNumberFormat="1" applyFont="1" applyFill="1" applyBorder="1" applyAlignment="1">
      <alignment horizontal="center" vertical="center"/>
    </xf>
    <xf numFmtId="9" fontId="1" fillId="25" borderId="6" xfId="14" applyNumberFormat="1" applyFont="1" applyFill="1" applyBorder="1" applyAlignment="1">
      <alignment horizontal="center" vertical="center"/>
    </xf>
    <xf numFmtId="0" fontId="1" fillId="26" borderId="6" xfId="14" applyFont="1" applyFill="1" applyBorder="1" applyAlignment="1">
      <alignment horizontal="center" vertical="center"/>
    </xf>
    <xf numFmtId="0" fontId="1" fillId="25" borderId="6" xfId="14" applyFont="1" applyFill="1" applyBorder="1" applyAlignment="1">
      <alignment vertical="center"/>
    </xf>
    <xf numFmtId="0" fontId="1" fillId="4" borderId="0" xfId="14" applyFont="1" applyFill="1" applyAlignment="1">
      <alignment horizontal="center" vertical="center" wrapText="1"/>
    </xf>
    <xf numFmtId="0" fontId="1" fillId="0" borderId="0" xfId="14" applyFont="1" applyAlignment="1">
      <alignment vertical="center"/>
    </xf>
    <xf numFmtId="0" fontId="1" fillId="37" borderId="6" xfId="14" applyFont="1" applyFill="1" applyBorder="1" applyAlignment="1">
      <alignment horizontal="center" vertical="center" wrapText="1"/>
    </xf>
    <xf numFmtId="0" fontId="1" fillId="4" borderId="6" xfId="14" applyFont="1" applyFill="1" applyBorder="1" applyAlignment="1">
      <alignment horizontal="center" vertical="center" wrapText="1"/>
    </xf>
    <xf numFmtId="2" fontId="1" fillId="30" borderId="6" xfId="14" applyNumberFormat="1" applyFont="1" applyFill="1" applyBorder="1" applyAlignment="1">
      <alignment horizontal="center" vertical="center" wrapText="1"/>
    </xf>
    <xf numFmtId="0" fontId="1" fillId="30" borderId="6" xfId="14" applyFont="1" applyFill="1" applyBorder="1" applyAlignment="1">
      <alignment horizontal="center" vertical="center" wrapText="1"/>
    </xf>
    <xf numFmtId="0" fontId="5" fillId="46" borderId="7" xfId="8" applyFill="1" applyBorder="1" applyAlignment="1">
      <alignment horizontal="left" vertical="center" wrapText="1"/>
    </xf>
    <xf numFmtId="0" fontId="5" fillId="46" borderId="9" xfId="8" applyFill="1" applyBorder="1" applyAlignment="1">
      <alignment horizontal="left" vertical="center" wrapText="1"/>
    </xf>
    <xf numFmtId="0" fontId="5" fillId="46" borderId="8" xfId="8" applyFill="1" applyBorder="1" applyAlignment="1">
      <alignment horizontal="left" vertical="center" wrapText="1"/>
    </xf>
    <xf numFmtId="0" fontId="13" fillId="15" borderId="7" xfId="0" applyFont="1" applyFill="1" applyBorder="1" applyAlignment="1">
      <alignment horizontal="center" vertical="center" wrapText="1"/>
    </xf>
    <xf numFmtId="0" fontId="13" fillId="15" borderId="9" xfId="0" applyFont="1" applyFill="1" applyBorder="1" applyAlignment="1">
      <alignment horizontal="center" vertical="center" wrapText="1"/>
    </xf>
    <xf numFmtId="0" fontId="13" fillId="15" borderId="8" xfId="0" applyFont="1" applyFill="1" applyBorder="1" applyAlignment="1">
      <alignment horizontal="center" vertical="center" wrapText="1"/>
    </xf>
    <xf numFmtId="44" fontId="10" fillId="8" borderId="6" xfId="13" applyFont="1" applyFill="1" applyBorder="1" applyAlignment="1">
      <alignment horizontal="right" vertical="center" wrapText="1"/>
    </xf>
    <xf numFmtId="0" fontId="15" fillId="6" borderId="0" xfId="0" applyFont="1" applyFill="1" applyAlignment="1">
      <alignment horizontal="left" vertical="center"/>
    </xf>
    <xf numFmtId="0" fontId="15" fillId="6" borderId="2" xfId="0" applyFont="1" applyFill="1" applyBorder="1" applyAlignment="1">
      <alignment horizontal="left" vertical="center"/>
    </xf>
    <xf numFmtId="0" fontId="15" fillId="6" borderId="21" xfId="0" applyFont="1" applyFill="1" applyBorder="1" applyAlignment="1">
      <alignment horizontal="left" vertical="center"/>
    </xf>
    <xf numFmtId="0" fontId="10" fillId="8" borderId="6" xfId="0" applyFont="1" applyFill="1" applyBorder="1" applyAlignment="1">
      <alignment horizontal="right" vertical="center" wrapText="1"/>
    </xf>
    <xf numFmtId="0" fontId="10" fillId="14" borderId="6" xfId="0" applyFont="1" applyFill="1" applyBorder="1" applyAlignment="1">
      <alignment horizontal="left" vertical="center"/>
    </xf>
    <xf numFmtId="0" fontId="10" fillId="14" borderId="7" xfId="0" applyFont="1" applyFill="1" applyBorder="1" applyAlignment="1">
      <alignment horizontal="center" vertical="center"/>
    </xf>
    <xf numFmtId="0" fontId="10" fillId="14" borderId="9" xfId="0" applyFont="1" applyFill="1" applyBorder="1" applyAlignment="1">
      <alignment horizontal="center" vertical="center"/>
    </xf>
    <xf numFmtId="0" fontId="10" fillId="14" borderId="8" xfId="0" applyFont="1" applyFill="1" applyBorder="1" applyAlignment="1">
      <alignment horizontal="center" vertical="center"/>
    </xf>
    <xf numFmtId="0" fontId="7" fillId="13" borderId="4" xfId="0" applyFont="1" applyFill="1" applyBorder="1" applyAlignment="1">
      <alignment vertical="center"/>
    </xf>
    <xf numFmtId="0" fontId="10" fillId="13" borderId="1" xfId="0" applyFont="1" applyFill="1" applyBorder="1" applyAlignment="1">
      <alignment horizontal="center" vertical="center" wrapText="1"/>
    </xf>
    <xf numFmtId="0" fontId="1" fillId="0" borderId="0" xfId="14" applyFont="1" applyAlignment="1">
      <alignment vertical="center" wrapText="1"/>
    </xf>
    <xf numFmtId="0" fontId="8" fillId="28" borderId="6" xfId="14" applyFont="1" applyFill="1" applyBorder="1" applyAlignment="1">
      <alignment vertical="center" wrapText="1"/>
    </xf>
    <xf numFmtId="0" fontId="20" fillId="8" borderId="10" xfId="14" applyFont="1" applyFill="1" applyBorder="1" applyAlignment="1">
      <alignment vertical="center" wrapText="1"/>
    </xf>
    <xf numFmtId="0" fontId="20" fillId="8" borderId="0" xfId="14" applyFont="1" applyFill="1" applyAlignment="1">
      <alignment vertical="center" wrapText="1"/>
    </xf>
    <xf numFmtId="0" fontId="1" fillId="8" borderId="0" xfId="14" applyFont="1" applyFill="1" applyAlignment="1">
      <alignment vertical="center" wrapText="1"/>
    </xf>
    <xf numFmtId="0" fontId="8" fillId="8" borderId="15" xfId="14" applyFont="1" applyFill="1" applyBorder="1" applyAlignment="1">
      <alignment vertical="center" wrapText="1"/>
    </xf>
    <xf numFmtId="0" fontId="8" fillId="8" borderId="16" xfId="14" applyFont="1" applyFill="1" applyBorder="1" applyAlignment="1">
      <alignment vertical="center" wrapText="1"/>
    </xf>
    <xf numFmtId="0" fontId="8" fillId="8" borderId="13" xfId="14" applyFont="1" applyFill="1" applyBorder="1" applyAlignment="1">
      <alignment vertical="center" wrapText="1"/>
    </xf>
    <xf numFmtId="0" fontId="21" fillId="30" borderId="6" xfId="14" applyFont="1" applyFill="1" applyBorder="1" applyAlignment="1">
      <alignment vertical="center" wrapText="1"/>
    </xf>
    <xf numFmtId="0" fontId="20" fillId="8" borderId="17" xfId="14" applyFont="1" applyFill="1" applyBorder="1" applyAlignment="1">
      <alignment horizontal="center" vertical="center"/>
    </xf>
    <xf numFmtId="0" fontId="20" fillId="8" borderId="18" xfId="14" applyFont="1" applyFill="1" applyBorder="1" applyAlignment="1">
      <alignment horizontal="center" vertical="center"/>
    </xf>
    <xf numFmtId="0" fontId="20" fillId="8" borderId="19" xfId="14" applyFont="1" applyFill="1" applyBorder="1" applyAlignment="1">
      <alignment horizontal="center" vertical="center"/>
    </xf>
    <xf numFmtId="0" fontId="8" fillId="8" borderId="6" xfId="14" applyFont="1" applyFill="1" applyBorder="1" applyAlignment="1">
      <alignment horizontal="left" vertical="center" wrapText="1"/>
    </xf>
    <xf numFmtId="0" fontId="8" fillId="8" borderId="6" xfId="14" applyFont="1" applyFill="1" applyBorder="1" applyAlignment="1">
      <alignment horizontal="center" vertical="center"/>
    </xf>
    <xf numFmtId="0" fontId="23" fillId="30" borderId="6" xfId="14" applyFont="1" applyFill="1" applyBorder="1" applyAlignment="1">
      <alignment horizontal="center" vertical="center"/>
    </xf>
    <xf numFmtId="0" fontId="20" fillId="8" borderId="6" xfId="14" applyFont="1" applyFill="1" applyBorder="1" applyAlignment="1">
      <alignment horizontal="left" vertical="center" wrapText="1"/>
    </xf>
    <xf numFmtId="0" fontId="8" fillId="28" borderId="6" xfId="14" applyFont="1" applyFill="1" applyBorder="1" applyAlignment="1">
      <alignment horizontal="left" vertical="center" wrapText="1"/>
    </xf>
    <xf numFmtId="0" fontId="8" fillId="28" borderId="7" xfId="14" applyFont="1" applyFill="1" applyBorder="1" applyAlignment="1">
      <alignment horizontal="left" vertical="center"/>
    </xf>
    <xf numFmtId="0" fontId="8" fillId="28" borderId="8" xfId="14" applyFont="1" applyFill="1" applyBorder="1" applyAlignment="1">
      <alignment horizontal="left" vertical="center"/>
    </xf>
    <xf numFmtId="0" fontId="8" fillId="8" borderId="7" xfId="14" applyFont="1" applyFill="1" applyBorder="1" applyAlignment="1">
      <alignment horizontal="left" vertical="center"/>
    </xf>
    <xf numFmtId="0" fontId="8" fillId="8" borderId="8" xfId="14" applyFont="1" applyFill="1" applyBorder="1" applyAlignment="1">
      <alignment horizontal="left" vertical="center"/>
    </xf>
    <xf numFmtId="0" fontId="21" fillId="30" borderId="15" xfId="14" applyFont="1" applyFill="1" applyBorder="1" applyAlignment="1">
      <alignment horizontal="left" vertical="center" wrapText="1"/>
    </xf>
    <xf numFmtId="0" fontId="21" fillId="30" borderId="13" xfId="14" applyFont="1" applyFill="1" applyBorder="1" applyAlignment="1">
      <alignment horizontal="left" vertical="center" wrapText="1"/>
    </xf>
    <xf numFmtId="9" fontId="12" fillId="22" borderId="6" xfId="1" applyFont="1" applyFill="1" applyBorder="1" applyAlignment="1">
      <alignment horizontal="center" vertical="center"/>
    </xf>
    <xf numFmtId="0" fontId="20" fillId="33" borderId="14" xfId="14" applyFont="1" applyFill="1" applyBorder="1" applyAlignment="1">
      <alignment horizontal="center" vertical="center" wrapText="1"/>
    </xf>
    <xf numFmtId="0" fontId="20" fillId="33" borderId="12" xfId="14" applyFont="1" applyFill="1" applyBorder="1" applyAlignment="1">
      <alignment horizontal="center" vertical="center"/>
    </xf>
    <xf numFmtId="0" fontId="20" fillId="33" borderId="20" xfId="14" applyFont="1" applyFill="1" applyBorder="1" applyAlignment="1">
      <alignment horizontal="center" vertical="center"/>
    </xf>
    <xf numFmtId="0" fontId="20" fillId="33" borderId="21" xfId="14" applyFont="1" applyFill="1" applyBorder="1" applyAlignment="1">
      <alignment horizontal="center" vertical="center"/>
    </xf>
    <xf numFmtId="0" fontId="20" fillId="33" borderId="0" xfId="14" applyFont="1" applyFill="1" applyAlignment="1">
      <alignment horizontal="center" vertical="center"/>
    </xf>
    <xf numFmtId="0" fontId="20" fillId="33" borderId="22" xfId="14" applyFont="1" applyFill="1" applyBorder="1" applyAlignment="1">
      <alignment horizontal="center" vertical="center"/>
    </xf>
    <xf numFmtId="0" fontId="20" fillId="33" borderId="17" xfId="14" applyFont="1" applyFill="1" applyBorder="1" applyAlignment="1">
      <alignment horizontal="center" vertical="center"/>
    </xf>
    <xf numFmtId="0" fontId="20" fillId="33" borderId="18" xfId="14" applyFont="1" applyFill="1" applyBorder="1" applyAlignment="1">
      <alignment horizontal="center" vertical="center"/>
    </xf>
    <xf numFmtId="0" fontId="20" fillId="33" borderId="19" xfId="14" applyFont="1" applyFill="1" applyBorder="1" applyAlignment="1">
      <alignment horizontal="center" vertical="center"/>
    </xf>
    <xf numFmtId="0" fontId="8" fillId="8" borderId="7" xfId="14" applyFont="1" applyFill="1" applyBorder="1" applyAlignment="1">
      <alignment horizontal="left" vertical="center" wrapText="1"/>
    </xf>
    <xf numFmtId="0" fontId="8" fillId="8" borderId="8" xfId="14" applyFont="1" applyFill="1" applyBorder="1" applyAlignment="1">
      <alignment horizontal="left" vertical="center" wrapText="1"/>
    </xf>
    <xf numFmtId="0" fontId="8" fillId="8" borderId="6" xfId="14" applyFont="1" applyFill="1" applyBorder="1" applyAlignment="1">
      <alignment vertical="center" wrapText="1"/>
    </xf>
    <xf numFmtId="0" fontId="21" fillId="8" borderId="6" xfId="14" applyFont="1" applyFill="1" applyBorder="1" applyAlignment="1">
      <alignment vertical="center" wrapText="1"/>
    </xf>
    <xf numFmtId="0" fontId="8" fillId="34" borderId="6" xfId="14" applyFont="1" applyFill="1" applyBorder="1" applyAlignment="1">
      <alignment horizontal="center" vertical="center"/>
    </xf>
    <xf numFmtId="0" fontId="8" fillId="36" borderId="6" xfId="14" applyFont="1" applyFill="1" applyBorder="1" applyAlignment="1">
      <alignment horizontal="center" vertical="center"/>
    </xf>
    <xf numFmtId="0" fontId="20" fillId="35" borderId="14" xfId="14" applyFont="1" applyFill="1" applyBorder="1" applyAlignment="1">
      <alignment horizontal="center" vertical="center" wrapText="1"/>
    </xf>
    <xf numFmtId="0" fontId="20" fillId="35" borderId="12" xfId="14" applyFont="1" applyFill="1" applyBorder="1" applyAlignment="1">
      <alignment horizontal="center" vertical="center"/>
    </xf>
    <xf numFmtId="0" fontId="20" fillId="35" borderId="20" xfId="14" applyFont="1" applyFill="1" applyBorder="1" applyAlignment="1">
      <alignment horizontal="center" vertical="center"/>
    </xf>
    <xf numFmtId="0" fontId="20" fillId="35" borderId="21" xfId="14" applyFont="1" applyFill="1" applyBorder="1" applyAlignment="1">
      <alignment horizontal="center" vertical="center"/>
    </xf>
    <xf numFmtId="0" fontId="20" fillId="35" borderId="0" xfId="14" applyFont="1" applyFill="1" applyAlignment="1">
      <alignment horizontal="center" vertical="center"/>
    </xf>
    <xf numFmtId="0" fontId="20" fillId="35" borderId="22" xfId="14" applyFont="1" applyFill="1" applyBorder="1" applyAlignment="1">
      <alignment horizontal="center" vertical="center"/>
    </xf>
    <xf numFmtId="0" fontId="20" fillId="35" borderId="17" xfId="14" applyFont="1" applyFill="1" applyBorder="1" applyAlignment="1">
      <alignment horizontal="center" vertical="center"/>
    </xf>
    <xf numFmtId="0" fontId="20" fillId="35" borderId="18" xfId="14" applyFont="1" applyFill="1" applyBorder="1" applyAlignment="1">
      <alignment horizontal="center" vertical="center"/>
    </xf>
    <xf numFmtId="0" fontId="20" fillId="35" borderId="19" xfId="14" applyFont="1" applyFill="1" applyBorder="1" applyAlignment="1">
      <alignment horizontal="center" vertical="center"/>
    </xf>
    <xf numFmtId="0" fontId="8" fillId="8" borderId="6" xfId="14" applyFont="1" applyFill="1" applyBorder="1" applyAlignment="1">
      <alignment horizontal="left" vertical="center"/>
    </xf>
    <xf numFmtId="0" fontId="8" fillId="8" borderId="21" xfId="14" applyFont="1" applyFill="1" applyBorder="1" applyAlignment="1">
      <alignment horizontal="left" vertical="center" wrapText="1"/>
    </xf>
    <xf numFmtId="0" fontId="8" fillId="8" borderId="22" xfId="14" applyFont="1" applyFill="1" applyBorder="1" applyAlignment="1">
      <alignment horizontal="left" vertical="center" wrapText="1"/>
    </xf>
    <xf numFmtId="0" fontId="20" fillId="25" borderId="10" xfId="14" applyFont="1" applyFill="1" applyBorder="1" applyAlignment="1">
      <alignment vertical="center" wrapText="1"/>
    </xf>
    <xf numFmtId="0" fontId="20" fillId="25" borderId="0" xfId="14" applyFont="1" applyFill="1" applyAlignment="1">
      <alignment vertical="center" wrapText="1"/>
    </xf>
    <xf numFmtId="0" fontId="1" fillId="0" borderId="11" xfId="14" applyFont="1" applyBorder="1" applyAlignment="1">
      <alignment vertical="center" wrapText="1"/>
    </xf>
  </cellXfs>
  <cellStyles count="16">
    <cellStyle name="cf1" xfId="2" xr:uid="{00000000-0005-0000-0000-000000000000}"/>
    <cellStyle name="cf2" xfId="3" xr:uid="{00000000-0005-0000-0000-000001000000}"/>
    <cellStyle name="cf3" xfId="4" xr:uid="{00000000-0005-0000-0000-000002000000}"/>
    <cellStyle name="cf4" xfId="5" xr:uid="{00000000-0005-0000-0000-000003000000}"/>
    <cellStyle name="Euro" xfId="6" xr:uid="{00000000-0005-0000-0000-000004000000}"/>
    <cellStyle name="Euro 2" xfId="7" xr:uid="{00000000-0005-0000-0000-000005000000}"/>
    <cellStyle name="Lien hypertexte" xfId="8" xr:uid="{00000000-0005-0000-0000-000006000000}"/>
    <cellStyle name="Milliers 2" xfId="9" xr:uid="{00000000-0005-0000-0000-000007000000}"/>
    <cellStyle name="Monétaire" xfId="13" builtinId="4"/>
    <cellStyle name="Normal" xfId="0" builtinId="0" customBuiltin="1"/>
    <cellStyle name="Normal 2" xfId="10" xr:uid="{00000000-0005-0000-0000-000009000000}"/>
    <cellStyle name="Normal 3" xfId="11" xr:uid="{00000000-0005-0000-0000-00000A000000}"/>
    <cellStyle name="Normal 4" xfId="14" xr:uid="{084C61E4-B2E3-4155-8727-396789C7035D}"/>
    <cellStyle name="Normal 4 2" xfId="15" xr:uid="{F9B32320-AE61-4FC2-8D0E-EF1929AB1FA7}"/>
    <cellStyle name="Pourcentage" xfId="1" builtinId="5" customBuiltin="1"/>
    <cellStyle name="Pourcentage 2" xfId="12" xr:uid="{00000000-0005-0000-0000-00000C00000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theme="3" tint="0.59996337778862885"/>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theme="3" tint="0.59996337778862885"/>
        </patternFill>
      </fill>
    </dxf>
    <dxf>
      <fill>
        <patternFill patternType="solid">
          <fgColor rgb="FF525252"/>
          <bgColor theme="3" tint="0.59996337778862885"/>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
      <fill>
        <patternFill patternType="solid">
          <fgColor rgb="FF525252"/>
          <bgColor rgb="FF525252"/>
        </patternFill>
      </fill>
    </dxf>
  </dxfs>
  <tableStyles count="0" defaultTableStyle="TableStyleMedium2" defaultPivotStyle="PivotStyleLight16"/>
  <colors>
    <mruColors>
      <color rgb="FF5252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85725</xdr:rowOff>
    </xdr:from>
    <xdr:to>
      <xdr:col>5</xdr:col>
      <xdr:colOff>292474</xdr:colOff>
      <xdr:row>0</xdr:row>
      <xdr:rowOff>1247775</xdr:rowOff>
    </xdr:to>
    <xdr:grpSp>
      <xdr:nvGrpSpPr>
        <xdr:cNvPr id="3" name="Groupe 2">
          <a:extLst>
            <a:ext uri="{FF2B5EF4-FFF2-40B4-BE49-F238E27FC236}">
              <a16:creationId xmlns:a16="http://schemas.microsoft.com/office/drawing/2014/main" id="{C78A3CC2-142D-4CE3-9CED-8507F7D40709}"/>
            </a:ext>
          </a:extLst>
        </xdr:cNvPr>
        <xdr:cNvGrpSpPr>
          <a:grpSpLocks noChangeAspect="1"/>
        </xdr:cNvGrpSpPr>
      </xdr:nvGrpSpPr>
      <xdr:grpSpPr>
        <a:xfrm>
          <a:off x="248478" y="82550"/>
          <a:ext cx="3509301" cy="1162050"/>
          <a:chOff x="0" y="133350"/>
          <a:chExt cx="3019425" cy="1162050"/>
        </a:xfrm>
      </xdr:grpSpPr>
      <xdr:pic>
        <xdr:nvPicPr>
          <xdr:cNvPr id="4" name="Image 3">
            <a:extLst>
              <a:ext uri="{FF2B5EF4-FFF2-40B4-BE49-F238E27FC236}">
                <a16:creationId xmlns:a16="http://schemas.microsoft.com/office/drawing/2014/main" id="{1A37E200-8EFC-4224-1462-DA280FF2161A}"/>
              </a:ext>
            </a:extLst>
          </xdr:cNvPr>
          <xdr:cNvPicPr>
            <a:picLocks noChangeAspect="1"/>
          </xdr:cNvPicPr>
        </xdr:nvPicPr>
        <xdr:blipFill rotWithShape="1">
          <a:blip xmlns:r="http://schemas.openxmlformats.org/officeDocument/2006/relationships" r:embed="rId1"/>
          <a:srcRect t="8849" b="9372"/>
          <a:stretch/>
        </xdr:blipFill>
        <xdr:spPr>
          <a:xfrm>
            <a:off x="0" y="133350"/>
            <a:ext cx="2148569" cy="1162050"/>
          </a:xfrm>
          <a:prstGeom prst="rect">
            <a:avLst/>
          </a:prstGeom>
        </xdr:spPr>
      </xdr:pic>
      <xdr:pic>
        <xdr:nvPicPr>
          <xdr:cNvPr id="5" name="Image 4">
            <a:extLst>
              <a:ext uri="{FF2B5EF4-FFF2-40B4-BE49-F238E27FC236}">
                <a16:creationId xmlns:a16="http://schemas.microsoft.com/office/drawing/2014/main" id="{4FA3897A-4945-ED31-BD00-23D902FF7B17}"/>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399"/>
            <a:ext cx="895351" cy="113347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demecloud.sharepoint.com/sites/P-ESPR-Instruction/Documents%20partages/General/R&#233;gion/HDF-IDF-CVL/Dossiers%20entreprises/1.%20HDF/1.%20Energie-bois/AF%20Energie%20bois%2023HFD0145.xlsm" TargetMode="External"/><Relationship Id="rId1" Type="http://schemas.openxmlformats.org/officeDocument/2006/relationships/externalLinkPath" Target="https://ademecloud.sharepoint.com/sites/P-ESPR-Instruction/Documents%20partages/General/R&#233;gion/HDF-IDF-CVL/Dossiers%20entreprises/1.%20HDF/1.%20Energie-bois/AF%20Energie%20bois%2023HFD014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aux_correspondance"/>
      <sheetName val="Accueil"/>
      <sheetName val="1. Volet financier"/>
      <sheetName val="2. AF"/>
      <sheetName val="3. ERD"/>
      <sheetName val="4. OPALE"/>
      <sheetName val="5. Finalisation"/>
      <sheetName val="Liste"/>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girpourlatransition.ademe.fr/entreprises/forets-filieres-bois" TargetMode="External"/><Relationship Id="rId1" Type="http://schemas.openxmlformats.org/officeDocument/2006/relationships/hyperlink" Target="mailto:espr@ademe.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6B74F-3A18-4320-BA42-9A3C1B4BA276}">
  <sheetPr codeName="Feuil10">
    <tabColor theme="0"/>
  </sheetPr>
  <dimension ref="A1:M8"/>
  <sheetViews>
    <sheetView showGridLines="0" topLeftCell="A2" zoomScale="115" zoomScaleNormal="115" workbookViewId="0">
      <selection activeCell="D9" sqref="D9"/>
    </sheetView>
  </sheetViews>
  <sheetFormatPr baseColWidth="10" defaultColWidth="11.453125" defaultRowHeight="14.5" x14ac:dyDescent="0.35"/>
  <cols>
    <col min="1" max="1" width="3.54296875" style="107" customWidth="1"/>
    <col min="2" max="16384" width="11.453125" style="107"/>
  </cols>
  <sheetData>
    <row r="1" spans="1:13" ht="113.25" customHeight="1" x14ac:dyDescent="0.35"/>
    <row r="2" spans="1:13" ht="23" x14ac:dyDescent="0.35">
      <c r="A2" s="108"/>
      <c r="B2" s="108" t="s">
        <v>0</v>
      </c>
      <c r="C2" s="108"/>
      <c r="D2" s="108"/>
      <c r="E2" s="108"/>
      <c r="F2" s="108"/>
      <c r="G2" s="108"/>
      <c r="H2" s="108"/>
      <c r="I2" s="108"/>
      <c r="J2" s="108"/>
      <c r="K2" s="108"/>
      <c r="L2" s="108"/>
      <c r="M2" s="108"/>
    </row>
    <row r="4" spans="1:13" ht="182.25" customHeight="1" x14ac:dyDescent="0.35">
      <c r="B4" s="129" t="s">
        <v>1</v>
      </c>
      <c r="C4" s="130"/>
      <c r="D4" s="130"/>
      <c r="E4" s="130"/>
      <c r="F4" s="130"/>
      <c r="G4" s="130"/>
      <c r="H4" s="130"/>
      <c r="I4" s="130"/>
      <c r="J4" s="130"/>
      <c r="K4" s="130"/>
      <c r="L4" s="131"/>
    </row>
    <row r="6" spans="1:13" x14ac:dyDescent="0.35">
      <c r="B6" s="112" t="s">
        <v>2</v>
      </c>
      <c r="C6" s="113" t="s">
        <v>3</v>
      </c>
    </row>
    <row r="7" spans="1:13" x14ac:dyDescent="0.35">
      <c r="H7" s="111"/>
    </row>
    <row r="8" spans="1:13" x14ac:dyDescent="0.35">
      <c r="B8" s="109" t="s">
        <v>307</v>
      </c>
      <c r="C8" s="110">
        <v>45484</v>
      </c>
    </row>
  </sheetData>
  <mergeCells count="1">
    <mergeCell ref="B4:L4"/>
  </mergeCells>
  <hyperlinks>
    <hyperlink ref="C6" r:id="rId1" xr:uid="{35BA7914-5655-4955-A093-9AD9DB4015FF}"/>
    <hyperlink ref="B4:L4" r:id="rId2" display="https://agirpourlatransition.ademe.fr/entreprises/forets-filieres-bois" xr:uid="{F5E0BA90-9E64-4CE5-B19E-ED8ECE39385E}"/>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4"/>
  </sheetPr>
  <dimension ref="A1:AY74"/>
  <sheetViews>
    <sheetView tabSelected="1" zoomScale="40" zoomScaleNormal="40" workbookViewId="0">
      <selection activeCell="AJ44" sqref="AJ44"/>
    </sheetView>
  </sheetViews>
  <sheetFormatPr baseColWidth="10" defaultColWidth="11.453125" defaultRowHeight="14.5" x14ac:dyDescent="0.35"/>
  <cols>
    <col min="1" max="1" width="8.1796875" style="8" customWidth="1"/>
    <col min="2" max="2" width="47.81640625" style="8" customWidth="1"/>
    <col min="3" max="3" width="37.1796875" style="8" customWidth="1"/>
    <col min="4" max="4" width="33.7265625" style="8" customWidth="1"/>
    <col min="5" max="5" width="33.453125" style="8" customWidth="1"/>
    <col min="6" max="6" width="23.1796875" style="8" bestFit="1" customWidth="1"/>
    <col min="7" max="8" width="22.7265625" style="8" customWidth="1"/>
    <col min="9" max="9" width="28.54296875" style="8" customWidth="1"/>
    <col min="10" max="10" width="23.7265625" style="8" customWidth="1"/>
    <col min="11" max="13" width="20.26953125" style="8" customWidth="1"/>
    <col min="14" max="14" width="24.26953125" style="8" customWidth="1"/>
    <col min="15" max="17" width="20.26953125" style="8" customWidth="1"/>
    <col min="18" max="18" width="23.7265625" style="8" customWidth="1"/>
    <col min="19" max="23" width="18.453125" style="8" customWidth="1"/>
    <col min="24" max="26" width="18.26953125" style="8" customWidth="1"/>
    <col min="27" max="28" width="19.453125" style="8" customWidth="1"/>
    <col min="29" max="30" width="18" style="8" customWidth="1"/>
    <col min="31" max="33" width="35.54296875" style="8" customWidth="1"/>
    <col min="34" max="34" width="34.453125" style="8" customWidth="1"/>
    <col min="35" max="35" width="28.81640625" style="3" customWidth="1"/>
    <col min="36" max="36" width="10.81640625" style="3" customWidth="1"/>
    <col min="37" max="37" width="18.7265625" style="3" hidden="1" customWidth="1"/>
    <col min="38" max="38" width="16.453125" style="3" hidden="1" customWidth="1"/>
    <col min="39" max="39" width="8.81640625" style="3" hidden="1" customWidth="1"/>
    <col min="40" max="42" width="12.54296875" style="3" hidden="1" customWidth="1"/>
    <col min="43" max="43" width="10.81640625" style="3" hidden="1" customWidth="1"/>
    <col min="44" max="44" width="14" style="3" hidden="1" customWidth="1"/>
    <col min="45" max="45" width="14.26953125" style="3" hidden="1" customWidth="1"/>
    <col min="46" max="46" width="16.453125" style="3" hidden="1" customWidth="1"/>
    <col min="47" max="49" width="10.81640625" style="3" hidden="1" customWidth="1"/>
    <col min="50" max="54" width="10.81640625" style="3" customWidth="1"/>
    <col min="55" max="16384" width="11.453125" style="3"/>
  </cols>
  <sheetData>
    <row r="1" spans="1:37" x14ac:dyDescent="0.3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7" ht="36.75" customHeight="1" x14ac:dyDescent="0.35">
      <c r="A2" s="3"/>
      <c r="B2" s="132" t="s">
        <v>4</v>
      </c>
      <c r="C2" s="133"/>
      <c r="D2" s="133"/>
      <c r="E2" s="133"/>
      <c r="F2" s="134"/>
      <c r="G2" s="3"/>
      <c r="H2" s="3"/>
      <c r="I2" s="3"/>
      <c r="J2" s="3"/>
      <c r="K2" s="3"/>
      <c r="L2" s="3"/>
      <c r="M2" s="3"/>
      <c r="N2" s="3"/>
      <c r="O2" s="3"/>
      <c r="P2" s="3"/>
      <c r="Q2" s="3"/>
      <c r="R2" s="3"/>
      <c r="S2" s="3"/>
      <c r="T2" s="3"/>
      <c r="U2" s="3"/>
      <c r="V2" s="3"/>
      <c r="W2" s="3"/>
      <c r="X2" s="3"/>
      <c r="Y2" s="3"/>
      <c r="Z2" s="3"/>
      <c r="AA2" s="3"/>
      <c r="AB2" s="3"/>
      <c r="AC2" s="3"/>
      <c r="AD2" s="3"/>
      <c r="AE2" s="3"/>
      <c r="AF2" s="3"/>
      <c r="AG2" s="3"/>
      <c r="AH2" s="3"/>
    </row>
    <row r="3" spans="1:37" x14ac:dyDescent="0.3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7" s="17" customFormat="1" ht="21" x14ac:dyDescent="0.35">
      <c r="A4" s="15" t="s">
        <v>5</v>
      </c>
      <c r="B4" s="16"/>
      <c r="C4" s="16"/>
      <c r="D4" s="16"/>
      <c r="E4" s="16"/>
      <c r="F4" s="16"/>
      <c r="G4" s="16"/>
      <c r="H4" s="16"/>
      <c r="I4" s="16"/>
      <c r="J4" s="16"/>
      <c r="K4" s="16"/>
      <c r="L4" s="16"/>
      <c r="M4" s="16"/>
    </row>
    <row r="5" spans="1:37" s="9" customFormat="1" x14ac:dyDescent="0.35">
      <c r="A5" s="4"/>
      <c r="B5" s="4"/>
      <c r="C5" s="4"/>
      <c r="D5" s="4"/>
      <c r="E5" s="4"/>
      <c r="F5" s="4"/>
      <c r="G5" s="4"/>
      <c r="H5" s="4"/>
      <c r="I5" s="4"/>
      <c r="J5" s="4"/>
      <c r="K5" s="4"/>
      <c r="L5" s="4"/>
      <c r="M5" s="4"/>
    </row>
    <row r="6" spans="1:37" x14ac:dyDescent="0.35">
      <c r="A6" s="3"/>
      <c r="B6" s="141" t="s">
        <v>6</v>
      </c>
      <c r="C6" s="142"/>
      <c r="D6" s="142"/>
      <c r="E6" s="142"/>
      <c r="F6" s="143"/>
      <c r="G6" s="5"/>
      <c r="H6" s="5"/>
      <c r="I6" s="5"/>
      <c r="J6" s="5"/>
      <c r="K6" s="5"/>
      <c r="L6" s="5"/>
      <c r="M6" s="5"/>
      <c r="N6" s="5"/>
      <c r="O6" s="5"/>
      <c r="P6" s="5"/>
      <c r="Q6" s="5"/>
      <c r="R6" s="5"/>
      <c r="S6" s="5"/>
      <c r="T6" s="5"/>
      <c r="U6" s="5"/>
      <c r="V6" s="5"/>
      <c r="W6" s="5"/>
      <c r="X6" s="5"/>
      <c r="Y6" s="5"/>
      <c r="Z6" s="5"/>
      <c r="AA6" s="5"/>
      <c r="AB6" s="5"/>
      <c r="AC6" s="5"/>
      <c r="AD6" s="5"/>
      <c r="AE6" s="5"/>
      <c r="AF6" s="5"/>
      <c r="AG6" s="5"/>
      <c r="AH6" s="5"/>
    </row>
    <row r="7" spans="1:37" x14ac:dyDescent="0.35">
      <c r="A7" s="3"/>
      <c r="B7" s="144"/>
      <c r="C7" s="144"/>
      <c r="D7" s="6" t="s">
        <v>7</v>
      </c>
      <c r="E7" s="6" t="s">
        <v>8</v>
      </c>
      <c r="F7" s="6" t="s">
        <v>9</v>
      </c>
      <c r="G7" s="3"/>
      <c r="H7" s="3"/>
      <c r="I7" s="3"/>
      <c r="J7" s="3"/>
      <c r="K7" s="3"/>
      <c r="L7" s="3"/>
      <c r="M7" s="3"/>
      <c r="N7" s="3"/>
      <c r="O7" s="3"/>
      <c r="P7" s="3"/>
      <c r="Q7" s="3"/>
      <c r="R7" s="3"/>
      <c r="S7" s="3"/>
      <c r="T7" s="3"/>
      <c r="U7" s="3"/>
      <c r="V7" s="3"/>
      <c r="W7" s="3"/>
      <c r="X7" s="3"/>
      <c r="Y7" s="3"/>
      <c r="Z7" s="3"/>
      <c r="AA7" s="3"/>
      <c r="AB7" s="3"/>
      <c r="AC7" s="3"/>
      <c r="AD7" s="3"/>
      <c r="AE7" s="3"/>
      <c r="AF7" s="3"/>
      <c r="AG7" s="3"/>
      <c r="AH7" s="3"/>
    </row>
    <row r="8" spans="1:37" x14ac:dyDescent="0.35">
      <c r="A8" s="3"/>
      <c r="B8" s="145" t="s">
        <v>10</v>
      </c>
      <c r="C8" s="145"/>
      <c r="D8" s="23">
        <f>SUM(Z44:Z63,Z71:Z74)</f>
        <v>0</v>
      </c>
      <c r="E8" s="23">
        <f>SUM(AE44:AE63,AE71:AE74)</f>
        <v>0</v>
      </c>
      <c r="F8" s="24" t="str">
        <f>IFERROR(E8/D8,"ERREUR")</f>
        <v>ERREUR</v>
      </c>
      <c r="G8" s="136" t="str">
        <f>IF(E8&gt;1000000, "Plafond maximal d'aides souhaitées atteint", "")</f>
        <v/>
      </c>
      <c r="H8" s="137"/>
      <c r="I8" s="137"/>
      <c r="J8" s="137"/>
      <c r="K8" s="137"/>
      <c r="L8" s="3"/>
      <c r="M8" s="3"/>
      <c r="N8" s="3"/>
      <c r="O8" s="3"/>
      <c r="P8" s="3"/>
      <c r="Q8" s="3"/>
      <c r="R8" s="3"/>
      <c r="S8" s="3"/>
      <c r="T8" s="3"/>
      <c r="U8" s="3"/>
      <c r="V8" s="3"/>
      <c r="W8" s="3"/>
      <c r="X8" s="3"/>
      <c r="Y8" s="3"/>
      <c r="Z8" s="3"/>
      <c r="AA8" s="3"/>
      <c r="AB8" s="3"/>
      <c r="AC8" s="3"/>
      <c r="AD8" s="3"/>
      <c r="AE8" s="3"/>
      <c r="AF8" s="3"/>
      <c r="AG8" s="3"/>
      <c r="AH8" s="3"/>
    </row>
    <row r="9" spans="1:37" x14ac:dyDescent="0.3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37" x14ac:dyDescent="0.35">
      <c r="A10" s="10"/>
      <c r="B10" s="135" t="s">
        <v>11</v>
      </c>
      <c r="C10" s="135"/>
      <c r="D10" s="25" t="str">
        <f>IF(D8=0, "", IF(D8&gt;=6000, "Oui", "Non"))</f>
        <v/>
      </c>
      <c r="E10" s="136" t="str">
        <f>IF(D10="", "&lt;-- Saisissez les investissements prévus dans le tableau en partie 3", IF(D10="Oui","","Le montant de dépenses éligibles est trop faible"))</f>
        <v>&lt;-- Saisissez les investissements prévus dans le tableau en partie 3</v>
      </c>
      <c r="F10" s="137"/>
      <c r="G10" s="137"/>
      <c r="H10" s="137"/>
      <c r="I10" s="137"/>
      <c r="J10" s="10"/>
      <c r="K10" s="10"/>
      <c r="L10" s="10"/>
      <c r="M10" s="10"/>
      <c r="N10" s="3"/>
      <c r="O10" s="3"/>
      <c r="P10" s="3"/>
      <c r="Q10" s="3"/>
      <c r="R10" s="3"/>
      <c r="S10" s="3"/>
      <c r="T10" s="3"/>
      <c r="U10" s="3"/>
      <c r="V10" s="3"/>
      <c r="W10" s="3"/>
      <c r="X10" s="3"/>
      <c r="Y10" s="3"/>
      <c r="Z10" s="3"/>
      <c r="AA10" s="3"/>
      <c r="AB10" s="3"/>
      <c r="AC10" s="3"/>
      <c r="AD10" s="3"/>
      <c r="AE10" s="3"/>
      <c r="AF10" s="3"/>
      <c r="AG10" s="3"/>
      <c r="AH10" s="3"/>
    </row>
    <row r="11" spans="1:37" x14ac:dyDescent="0.35">
      <c r="A11" s="10"/>
      <c r="B11" s="135" t="s">
        <v>12</v>
      </c>
      <c r="C11" s="135"/>
      <c r="D11" s="25" t="str">
        <f>IF(E8=0, "", IF(E8&lt;=1000000, "Oui", "Non"))</f>
        <v/>
      </c>
      <c r="E11" s="136" t="str">
        <f>IF(D10="", "&lt;-- Saisissez les investissements prévus dans le tableau en partie 3",IF(D11="Oui","","Le montant d'aide attendue est trop élevé"))</f>
        <v>&lt;-- Saisissez les investissements prévus dans le tableau en partie 3</v>
      </c>
      <c r="F11" s="137"/>
      <c r="G11" s="137"/>
      <c r="H11" s="137"/>
      <c r="I11" s="137"/>
      <c r="J11" s="10"/>
      <c r="K11" s="10"/>
      <c r="L11" s="10"/>
      <c r="M11" s="10"/>
      <c r="N11" s="3"/>
      <c r="O11" s="3"/>
      <c r="P11" s="3"/>
      <c r="Q11" s="3"/>
      <c r="R11" s="3"/>
      <c r="S11" s="3"/>
      <c r="T11" s="3"/>
      <c r="U11" s="3"/>
      <c r="V11" s="3"/>
      <c r="W11" s="3"/>
      <c r="X11" s="3"/>
      <c r="Y11" s="3"/>
      <c r="Z11" s="3"/>
      <c r="AA11" s="3"/>
      <c r="AB11" s="3"/>
      <c r="AC11" s="3"/>
      <c r="AD11" s="3"/>
      <c r="AE11" s="3"/>
      <c r="AF11" s="3"/>
      <c r="AG11" s="3"/>
      <c r="AH11" s="3"/>
    </row>
    <row r="12" spans="1:37" x14ac:dyDescent="0.35">
      <c r="A12" s="10"/>
      <c r="B12" s="10"/>
      <c r="C12" s="10"/>
      <c r="D12" s="10"/>
      <c r="E12" s="10"/>
      <c r="F12" s="10"/>
      <c r="G12" s="10"/>
      <c r="H12" s="10"/>
      <c r="I12" s="10"/>
      <c r="J12" s="10"/>
      <c r="K12" s="10"/>
      <c r="L12" s="10"/>
      <c r="M12" s="10"/>
      <c r="N12" s="3"/>
      <c r="O12" s="3"/>
      <c r="P12" s="3"/>
      <c r="Q12" s="3"/>
      <c r="R12" s="3"/>
      <c r="S12" s="3"/>
      <c r="T12" s="3"/>
      <c r="U12" s="3"/>
      <c r="V12" s="3"/>
      <c r="W12" s="3"/>
      <c r="X12" s="3"/>
      <c r="Y12" s="3"/>
      <c r="Z12" s="3"/>
      <c r="AA12" s="3"/>
      <c r="AB12" s="3"/>
      <c r="AC12" s="3"/>
      <c r="AD12" s="3"/>
      <c r="AE12" s="3"/>
      <c r="AF12" s="3"/>
      <c r="AG12" s="3"/>
      <c r="AH12" s="3"/>
    </row>
    <row r="13" spans="1:37" ht="55.5" customHeight="1" x14ac:dyDescent="0.35">
      <c r="A13" s="3"/>
      <c r="B13" s="132" t="s">
        <v>13</v>
      </c>
      <c r="C13" s="133"/>
      <c r="D13" s="133"/>
      <c r="E13" s="133"/>
      <c r="F13" s="134"/>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7" x14ac:dyDescent="0.3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row>
    <row r="15" spans="1:37" s="17" customFormat="1" ht="21" x14ac:dyDescent="0.35">
      <c r="A15" s="15" t="s">
        <v>14</v>
      </c>
      <c r="B15" s="16"/>
      <c r="C15" s="16"/>
      <c r="D15" s="16"/>
      <c r="E15" s="16"/>
      <c r="F15" s="16"/>
      <c r="G15" s="16"/>
      <c r="H15" s="16"/>
      <c r="I15" s="16"/>
      <c r="J15" s="16"/>
      <c r="K15" s="16"/>
      <c r="L15" s="16"/>
      <c r="M15" s="16"/>
    </row>
    <row r="16" spans="1:37" x14ac:dyDescent="0.35">
      <c r="A16" s="10"/>
      <c r="B16" s="10"/>
      <c r="C16" s="10"/>
      <c r="D16" s="10"/>
      <c r="E16" s="10"/>
      <c r="F16" s="10"/>
      <c r="G16" s="10"/>
      <c r="H16" s="10"/>
      <c r="I16" s="10"/>
      <c r="J16" s="10"/>
      <c r="K16" s="10"/>
      <c r="L16" s="10"/>
      <c r="M16" s="10"/>
      <c r="N16" s="3"/>
      <c r="O16" s="3"/>
      <c r="P16" s="3"/>
      <c r="Q16" s="3"/>
      <c r="R16" s="3"/>
      <c r="S16" s="3"/>
      <c r="T16" s="3"/>
      <c r="U16" s="3"/>
      <c r="V16" s="3"/>
      <c r="W16" s="3"/>
      <c r="X16" s="3"/>
      <c r="Y16" s="3"/>
      <c r="Z16" s="3"/>
      <c r="AB16" s="3"/>
      <c r="AC16" s="3"/>
      <c r="AD16" s="3"/>
      <c r="AE16" s="3"/>
      <c r="AF16" s="3"/>
      <c r="AG16" s="3"/>
      <c r="AH16" s="3"/>
      <c r="AK16" s="94">
        <f>AK18+AK26</f>
        <v>0</v>
      </c>
    </row>
    <row r="17" spans="1:37" x14ac:dyDescent="0.35">
      <c r="A17" s="11"/>
      <c r="B17" s="14" t="s">
        <v>15</v>
      </c>
      <c r="C17" s="29"/>
      <c r="D17" s="136" t="str">
        <f>IF(C17="", "&lt;-- Renseigner cette case", "")</f>
        <v>&lt;-- Renseigner cette case</v>
      </c>
      <c r="E17" s="137"/>
      <c r="F17" s="137"/>
      <c r="G17" s="137"/>
      <c r="H17" s="12"/>
      <c r="I17" s="3"/>
      <c r="J17" s="3"/>
      <c r="K17" s="3"/>
      <c r="L17" s="10"/>
      <c r="M17" s="10"/>
      <c r="N17" s="3"/>
      <c r="O17" s="3"/>
      <c r="P17" s="3"/>
      <c r="Q17" s="3"/>
      <c r="R17" s="3"/>
      <c r="S17" s="3"/>
      <c r="T17" s="3"/>
      <c r="U17" s="3"/>
      <c r="V17" s="3"/>
      <c r="W17" s="3"/>
      <c r="X17" s="3"/>
      <c r="Y17" s="3"/>
      <c r="Z17" s="3"/>
      <c r="AB17" s="3"/>
      <c r="AC17" s="3"/>
      <c r="AD17" s="3"/>
      <c r="AE17" s="3"/>
      <c r="AF17" s="3"/>
      <c r="AG17" s="3"/>
      <c r="AH17" s="3"/>
    </row>
    <row r="18" spans="1:37" ht="15.65" customHeight="1" x14ac:dyDescent="0.35">
      <c r="A18" s="11"/>
      <c r="B18" s="14" t="s">
        <v>16</v>
      </c>
      <c r="C18" s="114"/>
      <c r="D18" s="136" t="str">
        <f>IF(C18="", "&lt;-- Renseigner cette case", "")</f>
        <v>&lt;-- Renseigner cette case</v>
      </c>
      <c r="E18" s="137"/>
      <c r="F18" s="137"/>
      <c r="G18" s="137"/>
      <c r="H18" s="12"/>
      <c r="I18" s="3"/>
      <c r="J18" s="3"/>
      <c r="K18" s="3"/>
      <c r="L18" s="10"/>
      <c r="M18" s="10"/>
      <c r="N18" s="3"/>
      <c r="O18" s="3"/>
      <c r="P18" s="3"/>
      <c r="Q18" s="3"/>
      <c r="R18" s="3"/>
      <c r="S18" s="3"/>
      <c r="T18" s="3"/>
      <c r="U18" s="3"/>
      <c r="V18" s="3"/>
      <c r="W18" s="3"/>
      <c r="X18" s="3"/>
      <c r="Y18" s="3"/>
      <c r="Z18" s="3"/>
      <c r="AB18" s="3"/>
      <c r="AC18" s="3"/>
      <c r="AD18" s="3"/>
      <c r="AE18" s="3"/>
      <c r="AF18" s="3"/>
      <c r="AG18" s="3"/>
      <c r="AH18" s="3"/>
      <c r="AK18" s="94">
        <f>SUM(AK19:AK21)</f>
        <v>0</v>
      </c>
    </row>
    <row r="19" spans="1:37" x14ac:dyDescent="0.35">
      <c r="B19" s="14" t="s">
        <v>17</v>
      </c>
      <c r="C19" s="29"/>
      <c r="D19" s="136" t="str">
        <f>IF(C19="", "&lt;-- Renseigner cette case", "")</f>
        <v>&lt;-- Renseigner cette case</v>
      </c>
      <c r="E19" s="137"/>
      <c r="F19" s="137"/>
      <c r="G19" s="137"/>
      <c r="H19" s="12"/>
      <c r="I19" s="3"/>
      <c r="J19" s="3"/>
      <c r="K19" s="3"/>
      <c r="L19" s="10"/>
      <c r="M19" s="10"/>
      <c r="N19" s="3"/>
      <c r="O19" s="3"/>
      <c r="P19" s="3"/>
      <c r="Q19" s="3"/>
      <c r="R19" s="3"/>
      <c r="S19" s="3"/>
      <c r="T19" s="3"/>
      <c r="U19" s="3"/>
      <c r="V19" s="3"/>
      <c r="W19" s="3"/>
      <c r="X19" s="3"/>
      <c r="Y19" s="3"/>
      <c r="Z19" s="3"/>
      <c r="AB19" s="3"/>
      <c r="AC19" s="3"/>
      <c r="AD19" s="3"/>
      <c r="AE19" s="3"/>
      <c r="AF19" s="3"/>
      <c r="AG19" s="3"/>
      <c r="AH19" s="3"/>
      <c r="AK19" s="95">
        <f>IF(C19="", 0, 1)</f>
        <v>0</v>
      </c>
    </row>
    <row r="20" spans="1:37" x14ac:dyDescent="0.35">
      <c r="A20" s="3"/>
      <c r="B20" s="11"/>
      <c r="C20" s="3"/>
      <c r="D20" s="136"/>
      <c r="E20" s="137"/>
      <c r="F20" s="137"/>
      <c r="G20" s="137"/>
      <c r="H20" s="12"/>
      <c r="I20" s="3"/>
      <c r="J20" s="3"/>
      <c r="K20" s="3"/>
      <c r="L20" s="3"/>
      <c r="M20" s="3"/>
      <c r="N20" s="3"/>
      <c r="O20" s="3"/>
      <c r="P20" s="3"/>
      <c r="Q20" s="3"/>
      <c r="R20" s="3"/>
      <c r="S20" s="3"/>
      <c r="T20" s="3"/>
      <c r="U20" s="3"/>
      <c r="V20" s="3"/>
      <c r="W20" s="3"/>
      <c r="X20" s="3"/>
      <c r="Y20" s="3"/>
      <c r="Z20" s="3"/>
      <c r="AB20" s="3"/>
      <c r="AC20" s="3"/>
      <c r="AD20" s="3"/>
      <c r="AE20" s="3"/>
      <c r="AF20" s="3"/>
      <c r="AG20" s="3"/>
      <c r="AH20" s="3"/>
    </row>
    <row r="21" spans="1:37" ht="15" customHeight="1" x14ac:dyDescent="0.35">
      <c r="B21" s="14" t="s">
        <v>18</v>
      </c>
      <c r="C21" s="29"/>
      <c r="D21" s="136" t="str">
        <f>IF(C21="", "&lt;-- sélectionner le département dans le menu déroulant", "")</f>
        <v>&lt;-- sélectionner le département dans le menu déroulant</v>
      </c>
      <c r="E21" s="137"/>
      <c r="F21" s="137"/>
      <c r="G21" s="137"/>
      <c r="H21" s="12"/>
      <c r="I21" s="3"/>
      <c r="J21" s="3"/>
      <c r="K21" s="3"/>
      <c r="L21" s="10"/>
      <c r="M21" s="10"/>
      <c r="N21" s="3"/>
      <c r="O21" s="3"/>
      <c r="P21" s="3"/>
      <c r="Q21" s="3"/>
      <c r="R21" s="3"/>
      <c r="S21" s="3"/>
      <c r="T21" s="3"/>
      <c r="U21" s="3"/>
      <c r="V21" s="3"/>
      <c r="W21" s="3"/>
      <c r="X21" s="3"/>
      <c r="Y21" s="3"/>
      <c r="Z21" s="3"/>
      <c r="AB21" s="3"/>
      <c r="AC21" s="3"/>
      <c r="AD21" s="3"/>
      <c r="AE21" s="3"/>
      <c r="AF21" s="3"/>
      <c r="AG21" s="3"/>
      <c r="AH21" s="3"/>
      <c r="AK21" s="95">
        <f>IF(C21="", 0, 1)</f>
        <v>0</v>
      </c>
    </row>
    <row r="22" spans="1:37" x14ac:dyDescent="0.35">
      <c r="A22" s="11"/>
      <c r="B22" s="14" t="s">
        <v>19</v>
      </c>
      <c r="C22" s="25" t="e">
        <f>INDEX(Listes!$B$2:$D$103, MATCH($C$21, Listes!$B$2:$B$103, 0), 2)</f>
        <v>#N/A</v>
      </c>
      <c r="D22" s="12"/>
      <c r="E22" s="12"/>
      <c r="F22" s="12"/>
      <c r="G22" s="12"/>
      <c r="H22" s="12"/>
      <c r="I22" s="3"/>
      <c r="J22" s="3"/>
      <c r="K22" s="3"/>
      <c r="L22" s="10"/>
      <c r="M22" s="10"/>
      <c r="N22" s="3"/>
      <c r="O22" s="3"/>
      <c r="P22" s="3"/>
      <c r="Q22" s="3"/>
      <c r="R22" s="3"/>
      <c r="S22" s="3"/>
      <c r="T22" s="3"/>
      <c r="U22" s="3"/>
      <c r="V22" s="3"/>
      <c r="W22" s="3"/>
      <c r="X22" s="3"/>
      <c r="Y22" s="3"/>
      <c r="Z22" s="3"/>
      <c r="AA22" s="3"/>
      <c r="AB22" s="3"/>
      <c r="AC22" s="3"/>
      <c r="AD22" s="3"/>
      <c r="AE22" s="3"/>
      <c r="AF22" s="3"/>
      <c r="AG22" s="3"/>
      <c r="AH22" s="3"/>
    </row>
    <row r="23" spans="1:37" x14ac:dyDescent="0.35">
      <c r="A23" s="11"/>
      <c r="B23" s="14" t="s">
        <v>20</v>
      </c>
      <c r="C23" s="25" t="e">
        <f>INDEX(Listes!$B$2:$D$103, MATCH($C$21, Listes!$B$2:$B$103, 0), 3)</f>
        <v>#N/A</v>
      </c>
      <c r="D23" s="12"/>
      <c r="E23" s="12"/>
      <c r="F23" s="12"/>
      <c r="G23" s="12"/>
      <c r="H23" s="12"/>
      <c r="I23" s="3"/>
      <c r="J23" s="3"/>
      <c r="K23" s="3"/>
      <c r="L23" s="10"/>
      <c r="M23" s="10"/>
      <c r="N23" s="3"/>
      <c r="O23" s="3"/>
      <c r="P23" s="3"/>
      <c r="Q23" s="3"/>
      <c r="R23" s="3"/>
      <c r="S23" s="3"/>
      <c r="T23" s="3"/>
      <c r="U23" s="3"/>
      <c r="V23" s="3"/>
      <c r="W23" s="3"/>
      <c r="X23" s="3"/>
      <c r="Y23" s="3"/>
      <c r="Z23" s="3"/>
      <c r="AA23" s="3"/>
      <c r="AB23" s="3"/>
      <c r="AC23" s="3"/>
      <c r="AD23" s="3"/>
      <c r="AE23" s="3"/>
      <c r="AF23" s="3"/>
      <c r="AG23" s="3"/>
      <c r="AH23" s="3"/>
    </row>
    <row r="24" spans="1:37" x14ac:dyDescent="0.35">
      <c r="A24" s="10"/>
      <c r="B24" s="11"/>
      <c r="C24" s="10"/>
      <c r="D24" s="10"/>
      <c r="E24" s="10"/>
      <c r="F24" s="10"/>
      <c r="G24" s="10"/>
      <c r="H24" s="10"/>
      <c r="I24" s="10"/>
      <c r="J24" s="10"/>
      <c r="K24" s="10"/>
      <c r="L24" s="10"/>
      <c r="M24" s="10"/>
      <c r="N24" s="3"/>
      <c r="O24" s="3"/>
      <c r="P24" s="3"/>
      <c r="Q24" s="3"/>
      <c r="R24" s="3"/>
      <c r="S24" s="3"/>
      <c r="T24" s="3"/>
      <c r="U24" s="3"/>
      <c r="V24" s="3"/>
      <c r="W24" s="3"/>
      <c r="X24" s="3"/>
      <c r="Y24" s="3"/>
      <c r="Z24" s="3"/>
      <c r="AA24" s="3"/>
      <c r="AB24" s="3"/>
      <c r="AC24" s="3"/>
      <c r="AD24" s="3"/>
      <c r="AE24" s="3"/>
      <c r="AF24" s="3"/>
      <c r="AG24" s="3"/>
      <c r="AH24" s="3"/>
    </row>
    <row r="25" spans="1:37" s="17" customFormat="1" ht="21" x14ac:dyDescent="0.35">
      <c r="A25" s="15" t="s">
        <v>21</v>
      </c>
      <c r="B25" s="16"/>
      <c r="C25" s="16"/>
      <c r="D25" s="16"/>
      <c r="E25" s="16"/>
      <c r="F25" s="16"/>
      <c r="G25" s="16"/>
      <c r="H25" s="16"/>
      <c r="I25" s="16"/>
      <c r="J25" s="16"/>
      <c r="K25" s="16"/>
      <c r="L25" s="16"/>
      <c r="M25" s="16"/>
    </row>
    <row r="26" spans="1:37" x14ac:dyDescent="0.35">
      <c r="A26" s="10"/>
      <c r="B26" s="10"/>
      <c r="C26" s="10"/>
      <c r="D26" s="10"/>
      <c r="E26" s="10"/>
      <c r="F26" s="10"/>
      <c r="G26" s="10"/>
      <c r="H26" s="10"/>
      <c r="I26" s="10"/>
      <c r="J26" s="10"/>
      <c r="K26" s="10"/>
      <c r="L26" s="10"/>
      <c r="M26" s="10"/>
      <c r="N26" s="3"/>
      <c r="O26" s="3"/>
      <c r="P26" s="3"/>
      <c r="Q26" s="3"/>
      <c r="R26" s="3"/>
      <c r="S26" s="3"/>
      <c r="T26" s="3"/>
      <c r="U26" s="3"/>
      <c r="V26" s="3"/>
      <c r="W26" s="3"/>
      <c r="X26" s="3"/>
      <c r="Y26" s="3"/>
      <c r="Z26" s="3"/>
      <c r="AB26" s="3"/>
      <c r="AC26" s="3"/>
      <c r="AD26" s="3"/>
      <c r="AE26" s="3"/>
      <c r="AF26" s="3"/>
      <c r="AG26" s="3"/>
      <c r="AH26" s="3"/>
      <c r="AK26" s="94">
        <f>SUM(AK27:AK30)</f>
        <v>0</v>
      </c>
    </row>
    <row r="27" spans="1:37" ht="78.75" customHeight="1" x14ac:dyDescent="0.35">
      <c r="A27" s="10"/>
      <c r="B27" s="139" t="s">
        <v>22</v>
      </c>
      <c r="C27" s="139"/>
      <c r="D27" s="106"/>
      <c r="E27" s="138" t="str">
        <f>IF(D27="", "&lt;-- Renseigner cette case",
IF(D27="Non","ATTENTION JE NE SUIS PAS ELIGIBLE ",""))</f>
        <v>&lt;-- Renseigner cette case</v>
      </c>
      <c r="F27" s="136"/>
      <c r="G27" s="136"/>
      <c r="H27" s="136"/>
      <c r="I27" s="136"/>
      <c r="K27" s="10"/>
      <c r="L27" s="10"/>
      <c r="M27" s="10"/>
      <c r="N27" s="3"/>
      <c r="O27" s="3"/>
      <c r="P27" s="3"/>
      <c r="Q27" s="3"/>
      <c r="R27" s="3"/>
      <c r="S27" s="3"/>
      <c r="T27" s="3"/>
      <c r="U27" s="3"/>
      <c r="V27" s="3"/>
      <c r="W27" s="3"/>
      <c r="X27" s="3"/>
      <c r="Y27" s="3"/>
      <c r="Z27" s="3"/>
      <c r="AB27" s="3"/>
      <c r="AC27" s="3"/>
      <c r="AD27" s="3"/>
      <c r="AE27" s="3"/>
      <c r="AF27" s="3"/>
      <c r="AG27" s="3"/>
      <c r="AH27" s="3"/>
      <c r="AK27" s="95">
        <f>IF(D27="Oui", 1, 0)</f>
        <v>0</v>
      </c>
    </row>
    <row r="28" spans="1:37" ht="44.15" customHeight="1" x14ac:dyDescent="0.35">
      <c r="A28" s="10"/>
      <c r="B28" s="139" t="s">
        <v>23</v>
      </c>
      <c r="C28" s="139"/>
      <c r="D28" s="106"/>
      <c r="E28" s="138" t="str">
        <f>IF(D28="", "&lt;-- Renseigner cette case",
IF(D28="Non","ATTENTION JE NE SUIS PAS ELIGIBLE ",""))</f>
        <v>&lt;-- Renseigner cette case</v>
      </c>
      <c r="F28" s="136"/>
      <c r="G28" s="136"/>
      <c r="H28" s="136"/>
      <c r="I28" s="136"/>
      <c r="K28" s="10"/>
      <c r="L28" s="10"/>
      <c r="M28" s="10"/>
      <c r="N28" s="3"/>
      <c r="O28" s="3"/>
      <c r="P28" s="3"/>
      <c r="Q28" s="3"/>
      <c r="R28" s="3"/>
      <c r="S28" s="3"/>
      <c r="T28" s="3"/>
      <c r="U28" s="3"/>
      <c r="V28" s="3"/>
      <c r="W28" s="3"/>
      <c r="X28" s="3"/>
      <c r="Y28" s="3"/>
      <c r="Z28" s="3"/>
      <c r="AB28" s="3"/>
      <c r="AC28" s="3"/>
      <c r="AD28" s="3"/>
      <c r="AE28" s="3"/>
      <c r="AF28" s="3"/>
      <c r="AG28" s="3"/>
      <c r="AH28" s="3"/>
      <c r="AK28" s="95">
        <f>IF(OR(D28="Oui", D28="Non concerné"), 1, 0)</f>
        <v>0</v>
      </c>
    </row>
    <row r="29" spans="1:37" ht="44.15" customHeight="1" x14ac:dyDescent="0.35">
      <c r="A29" s="10"/>
      <c r="B29" s="139" t="s">
        <v>24</v>
      </c>
      <c r="C29" s="139"/>
      <c r="D29" s="106"/>
      <c r="E29" s="138" t="str">
        <f>IF(D29="", "&lt;-- Renseigner cette case",
IF(D29="Non","ATTENTION JE NE SUIS PAS ELIGIBLE ",""))</f>
        <v>&lt;-- Renseigner cette case</v>
      </c>
      <c r="F29" s="136"/>
      <c r="G29" s="136"/>
      <c r="H29" s="136"/>
      <c r="I29" s="136"/>
      <c r="K29" s="10"/>
      <c r="L29" s="10"/>
      <c r="M29" s="10"/>
      <c r="N29" s="3"/>
      <c r="O29" s="3"/>
      <c r="P29" s="3"/>
      <c r="Q29" s="3"/>
      <c r="R29" s="3"/>
      <c r="S29" s="3"/>
      <c r="T29" s="3"/>
      <c r="U29" s="3"/>
      <c r="V29" s="3"/>
      <c r="W29" s="3"/>
      <c r="X29" s="3"/>
      <c r="Y29" s="3"/>
      <c r="Z29" s="3"/>
      <c r="AB29" s="3"/>
      <c r="AC29" s="3"/>
      <c r="AD29" s="3"/>
      <c r="AE29" s="3"/>
      <c r="AF29" s="3"/>
      <c r="AG29" s="3"/>
      <c r="AH29" s="3"/>
      <c r="AK29" s="95">
        <f>IF(OR(D29="Oui", D29="Non concerné"), 1, 0)</f>
        <v>0</v>
      </c>
    </row>
    <row r="30" spans="1:37" ht="44.15" customHeight="1" x14ac:dyDescent="0.35">
      <c r="A30" s="10"/>
      <c r="B30" s="139" t="s">
        <v>25</v>
      </c>
      <c r="C30" s="139"/>
      <c r="D30" s="106"/>
      <c r="E30" s="138" t="str">
        <f>IF(D30="", "&lt;-- Renseigner cette case",
IF(D30="Non","ATTENTION JE NE SUIS PAS ELIGIBLE ",""))</f>
        <v>&lt;-- Renseigner cette case</v>
      </c>
      <c r="F30" s="136"/>
      <c r="G30" s="136"/>
      <c r="H30" s="136"/>
      <c r="I30" s="136"/>
      <c r="K30" s="10"/>
      <c r="L30" s="10"/>
      <c r="M30" s="10"/>
      <c r="N30" s="3"/>
      <c r="O30" s="3"/>
      <c r="P30" s="3"/>
      <c r="Q30" s="3"/>
      <c r="R30" s="3"/>
      <c r="S30" s="3"/>
      <c r="T30" s="3"/>
      <c r="U30" s="3"/>
      <c r="V30" s="3"/>
      <c r="W30" s="3"/>
      <c r="X30" s="3"/>
      <c r="Y30" s="3"/>
      <c r="Z30" s="3"/>
      <c r="AB30" s="3"/>
      <c r="AC30" s="3"/>
      <c r="AD30" s="3"/>
      <c r="AE30" s="3"/>
      <c r="AF30" s="3"/>
      <c r="AG30" s="3"/>
      <c r="AH30" s="3"/>
      <c r="AK30" s="95">
        <f>IF(D30="Oui", 1, 0)</f>
        <v>0</v>
      </c>
    </row>
    <row r="31" spans="1:37" x14ac:dyDescent="0.35">
      <c r="A31" s="10"/>
      <c r="B31" s="10"/>
      <c r="C31" s="10"/>
      <c r="D31" s="10"/>
      <c r="E31" s="10"/>
      <c r="F31" s="10"/>
      <c r="G31" s="10"/>
      <c r="H31" s="10"/>
      <c r="I31" s="10"/>
      <c r="J31" s="10"/>
      <c r="K31" s="10"/>
      <c r="L31" s="10"/>
      <c r="M31" s="10"/>
      <c r="N31" s="3"/>
      <c r="O31" s="3"/>
      <c r="P31" s="3"/>
      <c r="Q31" s="3"/>
      <c r="R31" s="3"/>
      <c r="S31" s="3"/>
      <c r="T31" s="3"/>
      <c r="U31" s="3"/>
      <c r="V31" s="3"/>
      <c r="W31" s="3"/>
      <c r="X31" s="3"/>
      <c r="Y31" s="3"/>
      <c r="Z31" s="3"/>
      <c r="AA31" s="3"/>
      <c r="AB31" s="3"/>
      <c r="AC31" s="3"/>
      <c r="AD31" s="3"/>
      <c r="AE31" s="3"/>
      <c r="AF31" s="3"/>
      <c r="AG31" s="3"/>
      <c r="AH31" s="3"/>
    </row>
    <row r="32" spans="1:37" s="17" customFormat="1" ht="21" x14ac:dyDescent="0.35">
      <c r="A32" s="15" t="s">
        <v>26</v>
      </c>
      <c r="B32" s="16"/>
      <c r="C32" s="16"/>
      <c r="D32" s="16"/>
      <c r="E32" s="16"/>
      <c r="F32" s="16"/>
      <c r="G32" s="16"/>
      <c r="H32" s="16"/>
      <c r="I32" s="16"/>
      <c r="J32" s="16"/>
      <c r="K32" s="16"/>
      <c r="L32" s="16"/>
      <c r="M32" s="16"/>
    </row>
    <row r="33" spans="1:51" x14ac:dyDescent="0.3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51" ht="40.5" customHeight="1" x14ac:dyDescent="0.35">
      <c r="A34" s="3"/>
      <c r="B34" s="132" t="s">
        <v>27</v>
      </c>
      <c r="C34" s="133"/>
      <c r="D34" s="133"/>
      <c r="E34" s="133"/>
      <c r="F34" s="134"/>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51" x14ac:dyDescent="0.3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51" ht="48" customHeight="1" x14ac:dyDescent="0.35">
      <c r="A36" s="3"/>
      <c r="B36" s="132" t="s">
        <v>28</v>
      </c>
      <c r="C36" s="133"/>
      <c r="D36" s="133"/>
      <c r="E36" s="133"/>
      <c r="F36" s="134"/>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51" x14ac:dyDescent="0.3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51" ht="49.5" customHeight="1" x14ac:dyDescent="0.35">
      <c r="A38" s="3"/>
      <c r="B38" s="132" t="s">
        <v>29</v>
      </c>
      <c r="C38" s="133"/>
      <c r="D38" s="133"/>
      <c r="E38" s="133"/>
      <c r="F38" s="134"/>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51" x14ac:dyDescent="0.3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51" s="93" customFormat="1" ht="21" x14ac:dyDescent="0.35">
      <c r="A40" s="91" t="s">
        <v>30</v>
      </c>
      <c r="B40" s="92"/>
      <c r="C40" s="92"/>
      <c r="D40" s="92"/>
      <c r="E40" s="92"/>
      <c r="F40" s="92"/>
      <c r="G40" s="92"/>
      <c r="H40" s="92"/>
      <c r="I40" s="92"/>
      <c r="J40" s="92"/>
      <c r="K40" s="92"/>
      <c r="L40" s="92"/>
      <c r="M40" s="92"/>
    </row>
    <row r="41" spans="1:51" x14ac:dyDescent="0.3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51" x14ac:dyDescent="0.35">
      <c r="A42" s="3"/>
      <c r="B42" s="140" t="s">
        <v>31</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row>
    <row r="43" spans="1:51" ht="43.5" x14ac:dyDescent="0.35">
      <c r="A43" s="3"/>
      <c r="B43" s="22" t="s">
        <v>32</v>
      </c>
      <c r="C43" s="18" t="s">
        <v>32</v>
      </c>
      <c r="D43" s="22" t="s">
        <v>33</v>
      </c>
      <c r="E43" s="18" t="s">
        <v>34</v>
      </c>
      <c r="F43" s="18" t="s">
        <v>35</v>
      </c>
      <c r="G43" s="18" t="s">
        <v>36</v>
      </c>
      <c r="H43" s="18" t="s">
        <v>37</v>
      </c>
      <c r="I43" s="18" t="s">
        <v>38</v>
      </c>
      <c r="J43" s="18" t="s">
        <v>39</v>
      </c>
      <c r="K43" s="18" t="s">
        <v>40</v>
      </c>
      <c r="L43" s="18" t="s">
        <v>41</v>
      </c>
      <c r="M43" s="18" t="s">
        <v>42</v>
      </c>
      <c r="N43" s="18" t="s">
        <v>43</v>
      </c>
      <c r="O43" s="18" t="s">
        <v>44</v>
      </c>
      <c r="P43" s="18" t="s">
        <v>45</v>
      </c>
      <c r="Q43" s="18" t="s">
        <v>42</v>
      </c>
      <c r="R43" s="18" t="s">
        <v>43</v>
      </c>
      <c r="S43" s="18" t="s">
        <v>44</v>
      </c>
      <c r="T43" s="18" t="s">
        <v>46</v>
      </c>
      <c r="U43" s="18" t="s">
        <v>42</v>
      </c>
      <c r="V43" s="18" t="s">
        <v>43</v>
      </c>
      <c r="W43" s="18" t="s">
        <v>44</v>
      </c>
      <c r="X43" s="18" t="s">
        <v>47</v>
      </c>
      <c r="Y43" s="18" t="s">
        <v>48</v>
      </c>
      <c r="Z43" s="18" t="s">
        <v>49</v>
      </c>
      <c r="AA43" s="19" t="s">
        <v>50</v>
      </c>
      <c r="AB43" s="19" t="s">
        <v>51</v>
      </c>
      <c r="AC43" s="20" t="s">
        <v>52</v>
      </c>
      <c r="AD43" s="20" t="s">
        <v>53</v>
      </c>
      <c r="AE43" s="21" t="s">
        <v>8</v>
      </c>
      <c r="AF43" s="19" t="s">
        <v>54</v>
      </c>
      <c r="AG43" s="20" t="s">
        <v>55</v>
      </c>
      <c r="AH43" s="20" t="s">
        <v>56</v>
      </c>
      <c r="AI43" s="38" t="s">
        <v>57</v>
      </c>
      <c r="AJ43" s="7"/>
      <c r="AK43" s="85" t="s">
        <v>58</v>
      </c>
      <c r="AL43" s="2" t="s">
        <v>59</v>
      </c>
      <c r="AM43" s="2" t="s">
        <v>60</v>
      </c>
      <c r="AN43" s="2" t="s">
        <v>61</v>
      </c>
      <c r="AO43" s="2" t="s">
        <v>62</v>
      </c>
      <c r="AP43" s="2" t="s">
        <v>63</v>
      </c>
      <c r="AQ43" s="2" t="s">
        <v>64</v>
      </c>
      <c r="AR43" s="2" t="s">
        <v>65</v>
      </c>
      <c r="AS43" s="2" t="s">
        <v>66</v>
      </c>
      <c r="AT43" s="2" t="s">
        <v>67</v>
      </c>
      <c r="AU43" s="2" t="s">
        <v>68</v>
      </c>
      <c r="AV43" s="2" t="s">
        <v>69</v>
      </c>
      <c r="AW43" s="2" t="s">
        <v>19</v>
      </c>
    </row>
    <row r="44" spans="1:51" ht="49.5" customHeight="1" x14ac:dyDescent="0.35">
      <c r="A44" s="22">
        <v>1</v>
      </c>
      <c r="B44" s="30"/>
      <c r="C44" s="30"/>
      <c r="D44" s="88" t="str">
        <f>IF(C44="", "",
IF((INDEX(Plafonds_dépenses_éligibles!$B$2:$F$35, MATCH(C44, Plafonds_dépenses_éligibles!$C$2:$C$35, 0), 3))="", "", INDEX(Plafonds_dépenses_éligibles!$B$2:$F$35, MATCH(C44, Plafonds_dépenses_éligibles!$C$2:$C$35, 0), 3)))</f>
        <v/>
      </c>
      <c r="E44" s="89"/>
      <c r="F44" s="31" t="str">
        <f t="shared" ref="F44" si="0">IF(B44="", "",
IF(B44="Catégorie 1 : Machines d’exploitation et de sylviculture couramment utilisées", "Veuillez préciser","Neuf"))</f>
        <v/>
      </c>
      <c r="G44" s="33"/>
      <c r="H44" s="86"/>
      <c r="I44" s="32"/>
      <c r="J44" s="34"/>
      <c r="K44" s="34"/>
      <c r="L44" s="32"/>
      <c r="M44" s="34"/>
      <c r="N44" s="35"/>
      <c r="O44" s="36"/>
      <c r="P44" s="32"/>
      <c r="Q44" s="34"/>
      <c r="R44" s="35"/>
      <c r="S44" s="36"/>
      <c r="T44" s="102"/>
      <c r="U44" s="105"/>
      <c r="V44" s="103"/>
      <c r="W44" s="104"/>
      <c r="X44" s="97" t="str">
        <f>IF(B44="", "",
IF(B44="Catégorie 1 : Machines d’exploitation et de sylviculture couramment utilisées", 1,"Veuillez préciser"))</f>
        <v/>
      </c>
      <c r="Y44" s="45"/>
      <c r="Z44" s="96" t="str">
        <f t="shared" ref="Z44" si="1">IF(X44="", "", Y44*X44)</f>
        <v/>
      </c>
      <c r="AA44" s="27" t="str">
        <f>IF(F44="", "Veuillez indiquer si le matériel est neuf ou d'occasion",
IF(F44="Neuf",
IF(AB44="Par entreprise",
MAX(INDEX(Plafonds_dépenses_éligibles!$B$2:$F$35,MATCH(C44,Plafonds_dépenses_éligibles!$C$2:$C$35,0),5)-SUMIFS(Z$43:Z43,C$43:C43,C44), 0),  INDEX(Plafonds_dépenses_éligibles!$B$2:$F$35,MATCH(C44,Plafonds_dépenses_éligibles!$C$2:$C$35,0),5)),
IF(AB44="Par entreprise", MAX(INDEX(Plafonds_dépenses_éligibles!$B$2:$F$35,MATCH(C44,Plafonds_dépenses_éligibles!$C$2:$C$35,0),5)/2-SUMIFS(Z$43:Z43,C$43:C43,C44), 0),  INDEX(Plafonds_dépenses_éligibles!$B$2:$F$35,MATCH(C44,Plafonds_dépenses_éligibles!$C$2:$C$35,0),5)/2)))</f>
        <v>Veuillez indiquer si le matériel est neuf ou d'occasion</v>
      </c>
      <c r="AB44" s="27" t="str">
        <f>IF(F44="", "Veuillez indiquer si le matériel est neuf ou d'occasion", INDEX(Plafonds_dépenses_éligibles!$B$2:$F$35, MATCH(C44, Plafonds_dépenses_éligibles!$C$2:$C$35, 0), 4))</f>
        <v>Veuillez indiquer si le matériel est neuf ou d'occasion</v>
      </c>
      <c r="AC44" s="81" t="str">
        <f>IF(B44="", "NC",
IF(NOT(AN44="Categorie_1"),
IF(AV44= "TPE /PME", 'Matrices aides'!$D$9, 'Matrices aides'!$E$9)+30%*IF(AW44="Oui", 1, 0),
IF(AQ44="NC", "NC",
IF(AQ44="Non", 0,
INDEX('Matrices aides'!$B$25:$E$27, MATCH(AU44, 'Matrices aides'!$B$25:$B$27, 0), MATCH(AV44, 'Matrices aides'!$B$25:$E$25, 0))+30%*IF(AW44="Oui", 1, 0)))))</f>
        <v>NC</v>
      </c>
      <c r="AD44" s="81" t="str">
        <f>IF(AC44="NC", "NC", AE44/Z44)</f>
        <v>NC</v>
      </c>
      <c r="AE44" s="28" t="str">
        <f>IF(AND(C44="Broyeurs chenillés", G44&gt;12000),"Attention le poids des broyeurs chenillés doit être inférieur à 12 tonnes",
 IF(OR(Z44="",$AK$16&lt;6),"Veuillez renseigner correctement les parties 1 à 2 et les cases bleues",
MIN(Z44,AA44)*AC44))</f>
        <v>Veuillez renseigner correctement les parties 1 à 2 et les cases bleues</v>
      </c>
      <c r="AF44" s="26" t="str">
        <f>IF(AK44="NC", "", CONCATENATE(ROUND(AK44,2)," t/roue."))</f>
        <v/>
      </c>
      <c r="AG44" s="26" t="str">
        <f>IF(NOT(AN44="Categorie_1"),"",
IF(AK44="NC","NC",
IF(AR44="Oui","Faible impact",IF(AK44&gt;'Matrices aides'!$D$17,"Impact trop élevé","Impact modéré"))))</f>
        <v/>
      </c>
      <c r="AH44" s="26" t="str">
        <f>IF(AL44="NC", "",
IF(AL44=0, "NC",
CONCATENATE(ROUND(AL44,2)," kg/cm².")))</f>
        <v/>
      </c>
      <c r="AI44" s="37" t="str">
        <f>IF(NOT(AN44="Categorie_1"),"",
IF(AH44="NC","NC",
IF(AS44="Oui","Faible impact",IF(AL44&gt;'Matrices aides'!$D$21,"Impact trop élevé","Impact modéré"))))</f>
        <v/>
      </c>
      <c r="AK44" s="83" t="str">
        <f>IF(NOT(AN44="Categorie_1"),"NC",
IF(I44="Roues", ((G44+H44)/1000)/(L44+P44+T44), "NC"))</f>
        <v>NC</v>
      </c>
      <c r="AL44" s="83" t="str">
        <f>IF(NOT(AN44="Categorie_1"), "NC",
IF(I44="Roues",
IF(OR(C44="Tracteur agricole blindé forestier",C44="Ensemble tracteur forestier + remorque forestière avec ranchers + grue ",C44="Débusqueur à câble ou débusqueur à grue munis d'un treuil ou tout autre dispositif permettant de tirer les bois jusqu'au cloisonnement d'exploitation"),0,
(G44+H44)/(L44*M44/10*((M44/10)*N44+O44*2.54/2)+P44*Q44/10*((Q44/10)*R44+S44*2.54/2)+T44*U44/10*((U44/10)*V44+W44*2.54/2))),
IF(I44="Chenilles",(G44+H44)/(2*J44/10*K44/10), "NC")))</f>
        <v>NC</v>
      </c>
      <c r="AM44" s="84" t="str">
        <f>IF(AND(AO44="Non",AP44="Non"),"NC",
IF(Q44="","",
IF(AP44="Oui",MIN(M44,Q44), Q44)))</f>
        <v>NC</v>
      </c>
      <c r="AN44" s="82" t="str">
        <f t="shared" ref="AN44:AN63" si="2">_xlfn.CONCAT("Categorie_", MID(B44, 11, 1))</f>
        <v>Categorie_</v>
      </c>
      <c r="AO44" s="82" t="str">
        <f>IF(OR(C44="Tracteur agricole blindé forestier",C44="Ensemble tracteur forestier + remorque forestière avec ranchers + grue "), "Oui", "Non")</f>
        <v>Non</v>
      </c>
      <c r="AP44" s="82" t="str">
        <f>IF(C44="Débusqueur à câble ou débusqueur à grue munis d'un treuil ou tout autre dispositif permettant de tirer les bois jusqu'au cloisonnement d'exploitation", "Oui", "Non")</f>
        <v>Non</v>
      </c>
      <c r="AQ44" s="82" t="str">
        <f>IF(B44="", "NC",
IF(NOT(AN44="Categorie_1"), "Oui",
IF(AND(AK44="NC", Mes_investissements!AL44&lt;='Matrices aides'!$D$21), "Oui",
IF(AND(AK44&lt;='Matrices aides'!$D$17, Mes_investissements!AL44&lt;='Matrices aides'!$D$21), "Oui", "Non"))))</f>
        <v>NC</v>
      </c>
      <c r="AR44" s="82" t="str">
        <f>IF(AN44="Categorie_1",
IF(I44="Chenilles", "NC",
IF(AK44&lt; INDEX(Seuils_CaR_et_PSS!$C$17:$F$26, MATCH($C44, Seuils_CaR_et_PSS!$C$17:$C$26,0), 2),"Oui","Non")),
"NC")</f>
        <v>NC</v>
      </c>
      <c r="AS44" s="82" t="str">
        <f>IF(AN44="Categorie_1",
IF(AND($C$23="Oui",AL44&lt;='Matrices aides'!$D$85),"Oui",
IF(AND($C$23="Oui",AL44&gt;'Matrices aides'!$D$85),"Non",
IF(AL44&lt;INDEX(Seuils_CaR_et_PSS!$C$17:$F$26,MATCH($C44,Seuils_CaR_et_PSS!$C$17:$C$26,0),3),"Oui", "Non"))),
"NC")</f>
        <v>NC</v>
      </c>
      <c r="AT44" s="82" t="str">
        <f>IF(AN44="Categorie_1",
IF(AM44="NC","NC",IF(AM44&lt;'Matrices aides'!$D$23,"Non","Oui")),
"NC")</f>
        <v>NC</v>
      </c>
      <c r="AU44" s="82" t="str">
        <f>IF(AS44="Non","Réduit",IF(AT44="Non",
IF(AND(C44=Seuils_CaR_et_PSS!$C$15,AR44="Oui"),"Bonifié","Réduit"),
IF(AR44="Non",IF(AND(C44=Seuils_CaR_et_PSS!$C$15,AM44&gt;='Matrices aides'!$D$23),"Bonifié","Réduit"),"Bonifié")))</f>
        <v>Bonifié</v>
      </c>
      <c r="AV44" s="82">
        <f>$C$19</f>
        <v>0</v>
      </c>
      <c r="AW44" s="82" t="e">
        <f>IF($C$22="Oui", "Oui", "Non")</f>
        <v>#N/A</v>
      </c>
    </row>
    <row r="45" spans="1:51" ht="50.15" customHeight="1" x14ac:dyDescent="0.35">
      <c r="A45" s="22">
        <v>2</v>
      </c>
      <c r="B45" s="30"/>
      <c r="C45" s="30"/>
      <c r="D45" s="88" t="str">
        <f>IF(C45="", "",
IF((INDEX(Plafonds_dépenses_éligibles!$B$2:$F$35, MATCH(C45, Plafonds_dépenses_éligibles!$C$2:$C$35, 0), 3))="", "", INDEX(Plafonds_dépenses_éligibles!$B$2:$F$35, MATCH(C45, Plafonds_dépenses_éligibles!$C$2:$C$35, 0), 3)))</f>
        <v/>
      </c>
      <c r="E45" s="89"/>
      <c r="F45" s="31" t="str">
        <f t="shared" ref="F45:F63" si="3">IF(B45="", "",
IF(B45="Catégorie 1 : Machines d’exploitation et de sylviculture couramment utilisées", "Veuillez préciser","Neuf"))</f>
        <v/>
      </c>
      <c r="G45" s="33"/>
      <c r="H45" s="86"/>
      <c r="I45" s="32"/>
      <c r="J45" s="34"/>
      <c r="K45" s="34"/>
      <c r="L45" s="32"/>
      <c r="M45" s="34"/>
      <c r="N45" s="35"/>
      <c r="O45" s="36"/>
      <c r="P45" s="32"/>
      <c r="Q45" s="34"/>
      <c r="R45" s="35"/>
      <c r="S45" s="36"/>
      <c r="T45" s="102"/>
      <c r="U45" s="105"/>
      <c r="V45" s="103"/>
      <c r="W45" s="104"/>
      <c r="X45" s="97" t="str">
        <f t="shared" ref="X45:X63" si="4">IF(B45="", "",
IF(B45="Catégorie 1 : Machines d’exploitation et de sylviculture couramment utilisées", 1,"Veuillez préciser"))</f>
        <v/>
      </c>
      <c r="Y45" s="45"/>
      <c r="Z45" s="96" t="str">
        <f t="shared" ref="Z45:Z63" si="5">IF(X45="", "", Y45*X45)</f>
        <v/>
      </c>
      <c r="AA45" s="27" t="str">
        <f>IF(F45="", "Veuillez indiquer si le matériel est neuf ou d'occasion",
IF(F45="Neuf",
IF(AB45="Par entreprise",
MAX(INDEX(Plafonds_dépenses_éligibles!$B$2:$F$35,MATCH(C45,Plafonds_dépenses_éligibles!$C$2:$C$35,0),5)-SUMIFS(Z$43:Z44,C$43:C44,C45), 0),  INDEX(Plafonds_dépenses_éligibles!$B$2:$F$35,MATCH(C45,Plafonds_dépenses_éligibles!$C$2:$C$35,0),5)),
IF(AB45="Par entreprise", MAX(INDEX(Plafonds_dépenses_éligibles!$B$2:$F$35,MATCH(C45,Plafonds_dépenses_éligibles!$C$2:$C$35,0),5)/2-SUMIFS(Z$43:Z44,C$43:C44,C45), 0),  INDEX(Plafonds_dépenses_éligibles!$B$2:$F$35,MATCH(C45,Plafonds_dépenses_éligibles!$C$2:$C$35,0),5)/2)))</f>
        <v>Veuillez indiquer si le matériel est neuf ou d'occasion</v>
      </c>
      <c r="AB45" s="27" t="str">
        <f>IF(F45="", "Veuillez indiquer si le matériel est neuf ou d'occasion", INDEX(Plafonds_dépenses_éligibles!$B$2:$F$35, MATCH(C45, Plafonds_dépenses_éligibles!$C$2:$C$35, 0), 4))</f>
        <v>Veuillez indiquer si le matériel est neuf ou d'occasion</v>
      </c>
      <c r="AC45" s="81" t="str">
        <f>IF(B45="", "NC",
IF(NOT(AN45="Categorie_1"),
IF(AV45= "TPE /PME", 'Matrices aides'!$D$9, 'Matrices aides'!$E$9)+30%*IF(AW45="Oui", 1, 0),
IF(AQ45="NC", "NC",
IF(AQ45="Non", 0,
INDEX('Matrices aides'!$B$25:$E$27, MATCH(AU45, 'Matrices aides'!$B$25:$B$27, 0), MATCH(AV45, 'Matrices aides'!$B$25:$E$25, 0))+30%*IF(AW45="Oui", 1, 0)))))</f>
        <v>NC</v>
      </c>
      <c r="AD45" s="81" t="str">
        <f t="shared" ref="AD45:AD63" si="6">IF(AC45="NC", "NC", AE45/Z45)</f>
        <v>NC</v>
      </c>
      <c r="AE45" s="28" t="str">
        <f t="shared" ref="AE45:AE63" si="7">IF(AND(C45="Broyeurs chenillés", G45&gt;12000),"Attention le poids des broyeurs chenillés doit être inférieur à 12 tonnes",
 IF(OR(Z45="",$AK$16&lt;6),"Veuillez renseigner correctement les parties 1 à 2 et les cases bleues",
MIN(Z45,AA45)*AC45))</f>
        <v>Veuillez renseigner correctement les parties 1 à 2 et les cases bleues</v>
      </c>
      <c r="AF45" s="26" t="str">
        <f t="shared" ref="AF45:AF63" si="8">IF(AK45="NC", "", CONCATENATE(ROUND(AK45,2)," t/roue."))</f>
        <v/>
      </c>
      <c r="AG45" s="26" t="str">
        <f>IF(NOT(AN45="Categorie_1"),"",
IF(AK45="NC","NC",
IF(AR45="Oui","Faible impact",IF(AK45&gt;'Matrices aides'!$D$17,"Impact trop élevé","Impact modéré"))))</f>
        <v/>
      </c>
      <c r="AH45" s="26" t="str">
        <f t="shared" ref="AH45:AH63" si="9">IF(AL45="NC", "",
IF(AL45=0, "NC",
CONCATENATE(ROUND(AL45,2)," kg/cm².")))</f>
        <v/>
      </c>
      <c r="AI45" s="37" t="str">
        <f>IF(NOT(AN45="Categorie_1"),"",
IF(AH45="NC","NC",
IF(AS45="Oui","Faible impact",IF(AL45&gt;'Matrices aides'!$D$21,"Impact trop élevé","Impact modéré"))))</f>
        <v/>
      </c>
      <c r="AK45" s="83" t="str">
        <f t="shared" ref="AK45:AK63" si="10">IF(NOT(AN45="Categorie_1"),"NC",
IF(I45="Roues", ((G45+H45)/1000)/(L45+P45+T45), "NC"))</f>
        <v>NC</v>
      </c>
      <c r="AL45" s="83" t="str">
        <f t="shared" ref="AL45:AL63" si="11">IF(NOT(AN45="Categorie_1"), "NC",
IF(I45="Roues",
IF(OR(C45="Tracteur agricole blindé forestier",C45="Ensemble tracteur forestier + remorque forestière avec ranchers + grue ",C45="Débusqueur à câble ou débusqueur à grue munis d'un treuil ou tout autre dispositif permettant de tirer les bois jusqu'au cloisonnement d'exploitation"),0,
(G45+H45)/(L45*M45/10*((M45/10)*N45+O45*2.54/2)+P45*Q45/10*((Q45/10)*R45+S45*2.54/2)+T45*U45/10*((U45/10)*V45+W45*2.54/2))),
IF(I45="Chenilles",(G45+H45)/(2*J45/10*K45/10), "NC")))</f>
        <v>NC</v>
      </c>
      <c r="AM45" s="84" t="str">
        <f t="shared" ref="AM45:AM63" si="12">IF(AND(AO45="Non",AP45="Non"),"NC",
IF(Q45="","",
IF(AP45="Oui",MIN(M45,Q45), Q45)))</f>
        <v>NC</v>
      </c>
      <c r="AN45" s="82" t="str">
        <f t="shared" si="2"/>
        <v>Categorie_</v>
      </c>
      <c r="AO45" s="82" t="str">
        <f t="shared" ref="AO45:AO63" si="13">IF(OR(C45="Tracteur agricole blindé forestier",C45="Ensemble tracteur + remorque forestière + grue"), "Oui", "Non")</f>
        <v>Non</v>
      </c>
      <c r="AP45" s="82" t="str">
        <f t="shared" ref="AP45:AP63" si="14">IF(C45="Débusqueur à câble ou débusqueur à grue munis d'un treuil ou tout autre dispositif permettant de tirer les bois jusqu'au cloisonnement d'exploitation", "Oui", "Non")</f>
        <v>Non</v>
      </c>
      <c r="AQ45" s="82" t="str">
        <f>IF(B45="", "NC",
IF(NOT(AN45="Categorie_1"), "Oui",
IF(AND(AK45="NC", Mes_investissements!AL45&lt;='Matrices aides'!$D$21), "Oui",
IF(AND(AK45&lt;='Matrices aides'!$D$17, Mes_investissements!AL45&lt;='Matrices aides'!$D$21), "Oui", "Non"))))</f>
        <v>NC</v>
      </c>
      <c r="AR45" s="82" t="str">
        <f>IF(AN45="Categorie_1",
IF(I45="Chenilles", "NC",
IF(AK45&lt; INDEX(Seuils_CaR_et_PSS!$C$17:$F$26, MATCH($C45, Seuils_CaR_et_PSS!$C$17:$C$26,0), 2),"Oui","Non")),
"NC")</f>
        <v>NC</v>
      </c>
      <c r="AS45" s="82" t="str">
        <f>IF(AN45="Categorie_1",
IF(AND($C$23="Oui",AL45&lt;='Matrices aides'!$D$85),"Oui",
IF(AND($C$23="Oui",AL45&gt;'Matrices aides'!$D$85),"Non",
IF(AL45&lt;INDEX(Seuils_CaR_et_PSS!$C$17:$F$26,MATCH($C45,Seuils_CaR_et_PSS!$C$17:$C$26,0),3),"Oui", "Non"))),
"NC")</f>
        <v>NC</v>
      </c>
      <c r="AT45" s="82" t="str">
        <f>IF(AN45="Categorie_1",
IF(AM45="NC","NC",IF(AM45&lt;'Matrices aides'!$D$23,"Non","Oui")),
"NC")</f>
        <v>NC</v>
      </c>
      <c r="AU45" s="82" t="str">
        <f>IF(AS45="Non","Réduit",IF(AT45="Non",
IF(AND(C45=Seuils_CaR_et_PSS!$C$15,AR45="Oui"),"Bonifié","Réduit"),
IF(AR45="Non",IF(AND(C45=Seuils_CaR_et_PSS!$C$15,AM45&gt;='Matrices aides'!$D$23),"Bonifié","Réduit"),"Bonifié")))</f>
        <v>Bonifié</v>
      </c>
      <c r="AV45" s="82">
        <f t="shared" ref="AV45:AV63" si="15">$C$19</f>
        <v>0</v>
      </c>
      <c r="AW45" s="82" t="e">
        <f t="shared" ref="AW45:AW63" si="16">IF($C$22="Oui", "Oui", "Non")</f>
        <v>#N/A</v>
      </c>
    </row>
    <row r="46" spans="1:51" ht="50.15" customHeight="1" x14ac:dyDescent="0.35">
      <c r="A46" s="22">
        <v>3</v>
      </c>
      <c r="B46" s="30"/>
      <c r="C46" s="30"/>
      <c r="D46" s="88" t="str">
        <f>IF(C46="", "",
IF((INDEX(Plafonds_dépenses_éligibles!$B$2:$F$35, MATCH(C46, Plafonds_dépenses_éligibles!$C$2:$C$35, 0), 3))="", "", INDEX(Plafonds_dépenses_éligibles!$B$2:$F$35, MATCH(C46, Plafonds_dépenses_éligibles!$C$2:$C$35, 0), 3)))</f>
        <v/>
      </c>
      <c r="E46" s="89"/>
      <c r="F46" s="31" t="str">
        <f t="shared" si="3"/>
        <v/>
      </c>
      <c r="G46" s="33"/>
      <c r="H46" s="86"/>
      <c r="I46" s="32"/>
      <c r="J46" s="34"/>
      <c r="K46" s="34"/>
      <c r="L46" s="32"/>
      <c r="M46" s="34"/>
      <c r="N46" s="35"/>
      <c r="O46" s="36"/>
      <c r="P46" s="32"/>
      <c r="Q46" s="34"/>
      <c r="R46" s="35"/>
      <c r="S46" s="36"/>
      <c r="T46" s="102"/>
      <c r="U46" s="105"/>
      <c r="V46" s="103"/>
      <c r="W46" s="104"/>
      <c r="X46" s="97" t="str">
        <f t="shared" si="4"/>
        <v/>
      </c>
      <c r="Y46" s="45"/>
      <c r="Z46" s="96" t="str">
        <f t="shared" si="5"/>
        <v/>
      </c>
      <c r="AA46" s="27" t="str">
        <f>IF(F46="", "Veuillez indiquer si le matériel est neuf ou d'occasion",
IF(F46="Neuf",
IF(AB46="Par entreprise",
MAX(INDEX(Plafonds_dépenses_éligibles!$B$2:$F$35,MATCH(C46,Plafonds_dépenses_éligibles!$C$2:$C$35,0),5)-SUMIFS(Z$43:Z45,C$43:C45,C46), 0),  INDEX(Plafonds_dépenses_éligibles!$B$2:$F$35,MATCH(C46,Plafonds_dépenses_éligibles!$C$2:$C$35,0),5)),
IF(AB46="Par entreprise", MAX(INDEX(Plafonds_dépenses_éligibles!$B$2:$F$35,MATCH(C46,Plafonds_dépenses_éligibles!$C$2:$C$35,0),5)/2-SUMIFS(Z$43:Z45,C$43:C45,C46), 0),  INDEX(Plafonds_dépenses_éligibles!$B$2:$F$35,MATCH(C46,Plafonds_dépenses_éligibles!$C$2:$C$35,0),5)/2)))</f>
        <v>Veuillez indiquer si le matériel est neuf ou d'occasion</v>
      </c>
      <c r="AB46" s="27" t="str">
        <f>IF(F46="", "Veuillez indiquer si le matériel est neuf ou d'occasion", INDEX(Plafonds_dépenses_éligibles!$B$2:$F$35, MATCH(C46, Plafonds_dépenses_éligibles!$C$2:$C$35, 0), 4))</f>
        <v>Veuillez indiquer si le matériel est neuf ou d'occasion</v>
      </c>
      <c r="AC46" s="81" t="str">
        <f>IF(B46="", "NC",
IF(NOT(AN46="Categorie_1"),
IF(AV46= "TPE /PME", 'Matrices aides'!$D$9, 'Matrices aides'!$E$9)+30%*IF(AW46="Oui", 1, 0),
IF(AQ46="NC", "NC",
IF(AQ46="Non", 0,
INDEX('Matrices aides'!$B$25:$E$27, MATCH(AU46, 'Matrices aides'!$B$25:$B$27, 0), MATCH(AV46, 'Matrices aides'!$B$25:$E$25, 0))+30%*IF(AW46="Oui", 1, 0)))))</f>
        <v>NC</v>
      </c>
      <c r="AD46" s="81" t="str">
        <f t="shared" si="6"/>
        <v>NC</v>
      </c>
      <c r="AE46" s="28" t="str">
        <f t="shared" si="7"/>
        <v>Veuillez renseigner correctement les parties 1 à 2 et les cases bleues</v>
      </c>
      <c r="AF46" s="26" t="str">
        <f t="shared" si="8"/>
        <v/>
      </c>
      <c r="AG46" s="26" t="str">
        <f>IF(NOT(AN46="Categorie_1"),"",
IF(AK46="NC","NC",
IF(AR46="Oui","Faible impact",IF(AK46&gt;'Matrices aides'!$D$17,"Impact trop élevé","Impact modéré"))))</f>
        <v/>
      </c>
      <c r="AH46" s="26" t="str">
        <f t="shared" si="9"/>
        <v/>
      </c>
      <c r="AI46" s="37" t="str">
        <f>IF(NOT(AN46="Categorie_1"),"",
IF(AH46="NC","NC",
IF(AS46="Oui","Faible impact",IF(AL46&gt;'Matrices aides'!$D$21,"Impact trop élevé","Impact modéré"))))</f>
        <v/>
      </c>
      <c r="AK46" s="83" t="str">
        <f t="shared" si="10"/>
        <v>NC</v>
      </c>
      <c r="AL46" s="83" t="str">
        <f t="shared" si="11"/>
        <v>NC</v>
      </c>
      <c r="AM46" s="84" t="str">
        <f t="shared" si="12"/>
        <v>NC</v>
      </c>
      <c r="AN46" s="82" t="str">
        <f t="shared" si="2"/>
        <v>Categorie_</v>
      </c>
      <c r="AO46" s="82" t="str">
        <f t="shared" si="13"/>
        <v>Non</v>
      </c>
      <c r="AP46" s="82" t="str">
        <f t="shared" si="14"/>
        <v>Non</v>
      </c>
      <c r="AQ46" s="82" t="str">
        <f>IF(B46="", "NC",
IF(NOT(AN46="Categorie_1"), "Oui",
IF(AND(AK46="NC", Mes_investissements!AL46&lt;='Matrices aides'!$D$21), "Oui",
IF(AND(AK46&lt;='Matrices aides'!$D$17, Mes_investissements!AL46&lt;='Matrices aides'!$D$21), "Oui", "Non"))))</f>
        <v>NC</v>
      </c>
      <c r="AR46" s="82" t="str">
        <f>IF(AN46="Categorie_1",
IF(I46="Chenilles", "NC",
IF(AK46&lt; INDEX(Seuils_CaR_et_PSS!$C$17:$F$26, MATCH($C46, Seuils_CaR_et_PSS!$C$17:$C$26,0), 2),"Oui","Non")),
"NC")</f>
        <v>NC</v>
      </c>
      <c r="AS46" s="82" t="str">
        <f>IF(AN46="Categorie_1",
IF(AND($C$23="Oui",AL46&lt;='Matrices aides'!$D$85),"Oui",
IF(AND($C$23="Oui",AL46&gt;'Matrices aides'!$D$85),"Non",
IF(AL46&lt;INDEX(Seuils_CaR_et_PSS!$C$17:$F$26,MATCH($C46,Seuils_CaR_et_PSS!$C$17:$C$26,0),3),"Oui", "Non"))),
"NC")</f>
        <v>NC</v>
      </c>
      <c r="AT46" s="82" t="str">
        <f>IF(AN46="Categorie_1",
IF(AM46="NC","NC",IF(AM46&lt;'Matrices aides'!$D$23,"Non","Oui")),
"NC")</f>
        <v>NC</v>
      </c>
      <c r="AU46" s="82" t="str">
        <f>IF(AS46="Non","Réduit",IF(AT46="Non",
IF(AND(C46=Seuils_CaR_et_PSS!$C$15,AR46="Oui"),"Bonifié","Réduit"),
IF(AR46="Non",IF(AND(C46=Seuils_CaR_et_PSS!$C$15,AM46&gt;='Matrices aides'!$D$23),"Bonifié","Réduit"),"Bonifié")))</f>
        <v>Bonifié</v>
      </c>
      <c r="AV46" s="82">
        <f t="shared" si="15"/>
        <v>0</v>
      </c>
      <c r="AW46" s="82" t="e">
        <f t="shared" si="16"/>
        <v>#N/A</v>
      </c>
      <c r="AY46" s="13"/>
    </row>
    <row r="47" spans="1:51" ht="50.15" customHeight="1" x14ac:dyDescent="0.35">
      <c r="A47" s="22">
        <v>4</v>
      </c>
      <c r="B47" s="30"/>
      <c r="C47" s="30"/>
      <c r="D47" s="88" t="str">
        <f>IF(C47="", "",
IF((INDEX(Plafonds_dépenses_éligibles!$B$2:$F$35, MATCH(C47, Plafonds_dépenses_éligibles!$C$2:$C$35, 0), 3))="", "", INDEX(Plafonds_dépenses_éligibles!$B$2:$F$35, MATCH(C47, Plafonds_dépenses_éligibles!$C$2:$C$35, 0), 3)))</f>
        <v/>
      </c>
      <c r="E47" s="89"/>
      <c r="F47" s="31" t="str">
        <f t="shared" si="3"/>
        <v/>
      </c>
      <c r="G47" s="33"/>
      <c r="H47" s="86"/>
      <c r="I47" s="32"/>
      <c r="J47" s="34"/>
      <c r="K47" s="34"/>
      <c r="L47" s="32"/>
      <c r="M47" s="34"/>
      <c r="N47" s="35"/>
      <c r="O47" s="36"/>
      <c r="P47" s="32"/>
      <c r="Q47" s="34"/>
      <c r="R47" s="35"/>
      <c r="S47" s="36"/>
      <c r="T47" s="102"/>
      <c r="U47" s="105"/>
      <c r="V47" s="103"/>
      <c r="W47" s="104"/>
      <c r="X47" s="97" t="str">
        <f t="shared" si="4"/>
        <v/>
      </c>
      <c r="Y47" s="45"/>
      <c r="Z47" s="96" t="str">
        <f t="shared" si="5"/>
        <v/>
      </c>
      <c r="AA47" s="27" t="str">
        <f>IF(F47="", "Veuillez indiquer si le matériel est neuf ou d'occasion",
IF(F47="Neuf",
IF(AB47="Par entreprise",
MAX(INDEX(Plafonds_dépenses_éligibles!$B$2:$F$35,MATCH(C47,Plafonds_dépenses_éligibles!$C$2:$C$35,0),5)-SUMIFS(Z$43:Z46,C$43:C46,C47), 0),  INDEX(Plafonds_dépenses_éligibles!$B$2:$F$35,MATCH(C47,Plafonds_dépenses_éligibles!$C$2:$C$35,0),5)),
IF(AB47="Par entreprise", MAX(INDEX(Plafonds_dépenses_éligibles!$B$2:$F$35,MATCH(C47,Plafonds_dépenses_éligibles!$C$2:$C$35,0),5)/2-SUMIFS(Z$43:Z46,C$43:C46,C47), 0),  INDEX(Plafonds_dépenses_éligibles!$B$2:$F$35,MATCH(C47,Plafonds_dépenses_éligibles!$C$2:$C$35,0),5)/2)))</f>
        <v>Veuillez indiquer si le matériel est neuf ou d'occasion</v>
      </c>
      <c r="AB47" s="27" t="str">
        <f>IF(F47="", "Veuillez indiquer si le matériel est neuf ou d'occasion", INDEX(Plafonds_dépenses_éligibles!$B$2:$F$35, MATCH(C47, Plafonds_dépenses_éligibles!$C$2:$C$35, 0), 4))</f>
        <v>Veuillez indiquer si le matériel est neuf ou d'occasion</v>
      </c>
      <c r="AC47" s="81" t="str">
        <f>IF(B47="", "NC",
IF(NOT(AN47="Categorie_1"),
IF(AV47= "TPE /PME", 'Matrices aides'!$D$9, 'Matrices aides'!$E$9)+30%*IF(AW47="Oui", 1, 0),
IF(AQ47="NC", "NC",
IF(AQ47="Non", 0,
INDEX('Matrices aides'!$B$25:$E$27, MATCH(AU47, 'Matrices aides'!$B$25:$B$27, 0), MATCH(AV47, 'Matrices aides'!$B$25:$E$25, 0))+30%*IF(AW47="Oui", 1, 0)))))</f>
        <v>NC</v>
      </c>
      <c r="AD47" s="81" t="str">
        <f t="shared" si="6"/>
        <v>NC</v>
      </c>
      <c r="AE47" s="28" t="str">
        <f t="shared" si="7"/>
        <v>Veuillez renseigner correctement les parties 1 à 2 et les cases bleues</v>
      </c>
      <c r="AF47" s="26" t="str">
        <f t="shared" si="8"/>
        <v/>
      </c>
      <c r="AG47" s="26" t="str">
        <f>IF(NOT(AN47="Categorie_1"),"",
IF(AK47="NC","NC",
IF(AR47="Oui","Faible impact",IF(AK47&gt;'Matrices aides'!$D$17,"Impact trop élevé","Impact modéré"))))</f>
        <v/>
      </c>
      <c r="AH47" s="26" t="str">
        <f t="shared" si="9"/>
        <v/>
      </c>
      <c r="AI47" s="37" t="str">
        <f>IF(NOT(AN47="Categorie_1"),"",
IF(AH47="NC","NC",
IF(AS47="Oui","Faible impact",IF(AL47&gt;'Matrices aides'!$D$21,"Impact trop élevé","Impact modéré"))))</f>
        <v/>
      </c>
      <c r="AK47" s="83" t="str">
        <f t="shared" si="10"/>
        <v>NC</v>
      </c>
      <c r="AL47" s="83" t="str">
        <f t="shared" si="11"/>
        <v>NC</v>
      </c>
      <c r="AM47" s="84" t="str">
        <f t="shared" si="12"/>
        <v>NC</v>
      </c>
      <c r="AN47" s="82" t="str">
        <f t="shared" si="2"/>
        <v>Categorie_</v>
      </c>
      <c r="AO47" s="82" t="str">
        <f t="shared" si="13"/>
        <v>Non</v>
      </c>
      <c r="AP47" s="82" t="str">
        <f t="shared" si="14"/>
        <v>Non</v>
      </c>
      <c r="AQ47" s="82" t="str">
        <f>IF(B47="", "NC",
IF(NOT(AN47="Categorie_1"), "Oui",
IF(AND(AK47="NC", Mes_investissements!AL47&lt;='Matrices aides'!$D$21), "Oui",
IF(AND(AK47&lt;='Matrices aides'!$D$17, Mes_investissements!AL47&lt;='Matrices aides'!$D$21), "Oui", "Non"))))</f>
        <v>NC</v>
      </c>
      <c r="AR47" s="82" t="str">
        <f>IF(AN47="Categorie_1",
IF(I47="Chenilles", "NC",
IF(AK47&lt; INDEX(Seuils_CaR_et_PSS!$C$17:$F$26, MATCH($C47, Seuils_CaR_et_PSS!$C$17:$C$26,0), 2),"Oui","Non")),
"NC")</f>
        <v>NC</v>
      </c>
      <c r="AS47" s="82" t="str">
        <f>IF(AN47="Categorie_1",
IF(AND($C$23="Oui",AL47&lt;='Matrices aides'!$D$85),"Oui",
IF(AND($C$23="Oui",AL47&gt;'Matrices aides'!$D$85),"Non",
IF(AL47&lt;INDEX(Seuils_CaR_et_PSS!$C$17:$F$26,MATCH($C47,Seuils_CaR_et_PSS!$C$17:$C$26,0),3),"Oui", "Non"))),
"NC")</f>
        <v>NC</v>
      </c>
      <c r="AT47" s="82" t="str">
        <f>IF(AN47="Categorie_1",
IF(AM47="NC","NC",IF(AM47&lt;'Matrices aides'!$D$23,"Non","Oui")),
"NC")</f>
        <v>NC</v>
      </c>
      <c r="AU47" s="82" t="str">
        <f>IF(AS47="Non","Réduit",IF(AT47="Non",
IF(AND(C47=Seuils_CaR_et_PSS!$C$15,AR47="Oui"),"Bonifié","Réduit"),
IF(AR47="Non",IF(AND(C47=Seuils_CaR_et_PSS!$C$15,AM47&gt;='Matrices aides'!$D$23),"Bonifié","Réduit"),"Bonifié")))</f>
        <v>Bonifié</v>
      </c>
      <c r="AV47" s="82">
        <f t="shared" si="15"/>
        <v>0</v>
      </c>
      <c r="AW47" s="82" t="e">
        <f t="shared" si="16"/>
        <v>#N/A</v>
      </c>
      <c r="AY47" s="13"/>
    </row>
    <row r="48" spans="1:51" ht="50.15" customHeight="1" x14ac:dyDescent="0.35">
      <c r="A48" s="22">
        <v>5</v>
      </c>
      <c r="B48" s="30"/>
      <c r="C48" s="30"/>
      <c r="D48" s="88" t="str">
        <f>IF(C48="", "",
IF((INDEX(Plafonds_dépenses_éligibles!$B$2:$F$35, MATCH(C48, Plafonds_dépenses_éligibles!$C$2:$C$35, 0), 3))="", "", INDEX(Plafonds_dépenses_éligibles!$B$2:$F$35, MATCH(C48, Plafonds_dépenses_éligibles!$C$2:$C$35, 0), 3)))</f>
        <v/>
      </c>
      <c r="E48" s="89"/>
      <c r="F48" s="31" t="str">
        <f t="shared" si="3"/>
        <v/>
      </c>
      <c r="G48" s="33"/>
      <c r="H48" s="86"/>
      <c r="I48" s="32"/>
      <c r="J48" s="34"/>
      <c r="K48" s="34"/>
      <c r="L48" s="32"/>
      <c r="M48" s="34"/>
      <c r="N48" s="35"/>
      <c r="O48" s="36"/>
      <c r="P48" s="32"/>
      <c r="Q48" s="34"/>
      <c r="R48" s="35"/>
      <c r="S48" s="36"/>
      <c r="T48" s="102"/>
      <c r="U48" s="105"/>
      <c r="V48" s="103"/>
      <c r="W48" s="104"/>
      <c r="X48" s="97" t="str">
        <f t="shared" si="4"/>
        <v/>
      </c>
      <c r="Y48" s="45"/>
      <c r="Z48" s="96" t="str">
        <f t="shared" si="5"/>
        <v/>
      </c>
      <c r="AA48" s="27" t="str">
        <f>IF(F48="", "Veuillez indiquer si le matériel est neuf ou d'occasion",
IF(F48="Neuf",
IF(AB48="Par entreprise",
MAX(INDEX(Plafonds_dépenses_éligibles!$B$2:$F$35,MATCH(C48,Plafonds_dépenses_éligibles!$C$2:$C$35,0),5)-SUMIFS(Z$43:Z47,C$43:C47,C48), 0),  INDEX(Plafonds_dépenses_éligibles!$B$2:$F$35,MATCH(C48,Plafonds_dépenses_éligibles!$C$2:$C$35,0),5)),
IF(AB48="Par entreprise", MAX(INDEX(Plafonds_dépenses_éligibles!$B$2:$F$35,MATCH(C48,Plafonds_dépenses_éligibles!$C$2:$C$35,0),5)/2-SUMIFS(Z$43:Z47,C$43:C47,C48), 0),  INDEX(Plafonds_dépenses_éligibles!$B$2:$F$35,MATCH(C48,Plafonds_dépenses_éligibles!$C$2:$C$35,0),5)/2)))</f>
        <v>Veuillez indiquer si le matériel est neuf ou d'occasion</v>
      </c>
      <c r="AB48" s="27" t="str">
        <f>IF(F48="", "Veuillez indiquer si le matériel est neuf ou d'occasion", INDEX(Plafonds_dépenses_éligibles!$B$2:$F$35, MATCH(C48, Plafonds_dépenses_éligibles!$C$2:$C$35, 0), 4))</f>
        <v>Veuillez indiquer si le matériel est neuf ou d'occasion</v>
      </c>
      <c r="AC48" s="81" t="str">
        <f>IF(B48="", "NC",
IF(NOT(AN48="Categorie_1"),
IF(AV48= "TPE /PME", 'Matrices aides'!$D$9, 'Matrices aides'!$E$9)+30%*IF(AW48="Oui", 1, 0),
IF(AQ48="NC", "NC",
IF(AQ48="Non", 0,
INDEX('Matrices aides'!$B$25:$E$27, MATCH(AU48, 'Matrices aides'!$B$25:$B$27, 0), MATCH(AV48, 'Matrices aides'!$B$25:$E$25, 0))+30%*IF(AW48="Oui", 1, 0)))))</f>
        <v>NC</v>
      </c>
      <c r="AD48" s="81" t="str">
        <f t="shared" si="6"/>
        <v>NC</v>
      </c>
      <c r="AE48" s="28" t="str">
        <f t="shared" si="7"/>
        <v>Veuillez renseigner correctement les parties 1 à 2 et les cases bleues</v>
      </c>
      <c r="AF48" s="26" t="str">
        <f t="shared" si="8"/>
        <v/>
      </c>
      <c r="AG48" s="26" t="str">
        <f>IF(NOT(AN48="Categorie_1"),"",
IF(AK48="NC","NC",
IF(AR48="Oui","Faible impact",IF(AK48&gt;'Matrices aides'!$D$17,"Impact trop élevé","Impact modéré"))))</f>
        <v/>
      </c>
      <c r="AH48" s="26" t="str">
        <f t="shared" si="9"/>
        <v/>
      </c>
      <c r="AI48" s="37" t="str">
        <f>IF(NOT(AN48="Categorie_1"),"",
IF(AH48="NC","NC",
IF(AS48="Oui","Faible impact",IF(AL48&gt;'Matrices aides'!$D$21,"Impact trop élevé","Impact modéré"))))</f>
        <v/>
      </c>
      <c r="AK48" s="83" t="str">
        <f t="shared" si="10"/>
        <v>NC</v>
      </c>
      <c r="AL48" s="83" t="str">
        <f t="shared" si="11"/>
        <v>NC</v>
      </c>
      <c r="AM48" s="84" t="str">
        <f t="shared" si="12"/>
        <v>NC</v>
      </c>
      <c r="AN48" s="82" t="str">
        <f t="shared" si="2"/>
        <v>Categorie_</v>
      </c>
      <c r="AO48" s="82" t="str">
        <f t="shared" si="13"/>
        <v>Non</v>
      </c>
      <c r="AP48" s="82" t="str">
        <f t="shared" si="14"/>
        <v>Non</v>
      </c>
      <c r="AQ48" s="82" t="str">
        <f>IF(B48="", "NC",
IF(NOT(AN48="Categorie_1"), "Oui",
IF(AND(AK48="NC", Mes_investissements!AL48&lt;='Matrices aides'!$D$21), "Oui",
IF(AND(AK48&lt;='Matrices aides'!$D$17, Mes_investissements!AL48&lt;='Matrices aides'!$D$21), "Oui", "Non"))))</f>
        <v>NC</v>
      </c>
      <c r="AR48" s="82" t="str">
        <f>IF(AN48="Categorie_1",
IF(I48="Chenilles", "NC",
IF(AK48&lt; INDEX(Seuils_CaR_et_PSS!$C$17:$F$26, MATCH($C48, Seuils_CaR_et_PSS!$C$17:$C$26,0), 2),"Oui","Non")),
"NC")</f>
        <v>NC</v>
      </c>
      <c r="AS48" s="82" t="str">
        <f>IF(AN48="Categorie_1",
IF(AND($C$23="Oui",AL48&lt;='Matrices aides'!$D$85),"Oui",
IF(AND($C$23="Oui",AL48&gt;'Matrices aides'!$D$85),"Non",
IF(AL48&lt;INDEX(Seuils_CaR_et_PSS!$C$17:$F$26,MATCH($C48,Seuils_CaR_et_PSS!$C$17:$C$26,0),3),"Oui", "Non"))),
"NC")</f>
        <v>NC</v>
      </c>
      <c r="AT48" s="82" t="str">
        <f>IF(AN48="Categorie_1",
IF(AM48="NC","NC",IF(AM48&lt;'Matrices aides'!$D$23,"Non","Oui")),
"NC")</f>
        <v>NC</v>
      </c>
      <c r="AU48" s="82" t="str">
        <f>IF(AS48="Non","Réduit",IF(AT48="Non",
IF(AND(C48=Seuils_CaR_et_PSS!$C$15,AR48="Oui"),"Bonifié","Réduit"),
IF(AR48="Non",IF(AND(C48=Seuils_CaR_et_PSS!$C$15,AM48&gt;='Matrices aides'!$D$23),"Bonifié","Réduit"),"Bonifié")))</f>
        <v>Bonifié</v>
      </c>
      <c r="AV48" s="82">
        <f t="shared" si="15"/>
        <v>0</v>
      </c>
      <c r="AW48" s="82" t="e">
        <f t="shared" si="16"/>
        <v>#N/A</v>
      </c>
      <c r="AY48" s="13"/>
    </row>
    <row r="49" spans="1:51" ht="50.15" customHeight="1" x14ac:dyDescent="0.35">
      <c r="A49" s="22">
        <v>6</v>
      </c>
      <c r="B49" s="30"/>
      <c r="C49" s="30"/>
      <c r="D49" s="88" t="str">
        <f>IF(C49="", "",
IF((INDEX(Plafonds_dépenses_éligibles!$B$2:$F$35, MATCH(C49, Plafonds_dépenses_éligibles!$C$2:$C$35, 0), 3))="", "", INDEX(Plafonds_dépenses_éligibles!$B$2:$F$35, MATCH(C49, Plafonds_dépenses_éligibles!$C$2:$C$35, 0), 3)))</f>
        <v/>
      </c>
      <c r="E49" s="89"/>
      <c r="F49" s="31" t="str">
        <f t="shared" si="3"/>
        <v/>
      </c>
      <c r="G49" s="33"/>
      <c r="H49" s="86"/>
      <c r="I49" s="32"/>
      <c r="J49" s="34"/>
      <c r="K49" s="34"/>
      <c r="L49" s="32"/>
      <c r="M49" s="34"/>
      <c r="N49" s="35"/>
      <c r="O49" s="36"/>
      <c r="P49" s="32"/>
      <c r="Q49" s="34"/>
      <c r="R49" s="35"/>
      <c r="S49" s="36"/>
      <c r="T49" s="102"/>
      <c r="U49" s="105"/>
      <c r="V49" s="103"/>
      <c r="W49" s="104"/>
      <c r="X49" s="97" t="str">
        <f t="shared" si="4"/>
        <v/>
      </c>
      <c r="Y49" s="45"/>
      <c r="Z49" s="96" t="str">
        <f t="shared" si="5"/>
        <v/>
      </c>
      <c r="AA49" s="27" t="str">
        <f>IF(F49="", "Veuillez indiquer si le matériel est neuf ou d'occasion",
IF(F49="Neuf",
IF(AB49="Par entreprise",
MAX(INDEX(Plafonds_dépenses_éligibles!$B$2:$F$35,MATCH(C49,Plafonds_dépenses_éligibles!$C$2:$C$35,0),5)-SUMIFS(Z$43:Z48,C$43:C48,C49), 0),  INDEX(Plafonds_dépenses_éligibles!$B$2:$F$35,MATCH(C49,Plafonds_dépenses_éligibles!$C$2:$C$35,0),5)),
IF(AB49="Par entreprise", MAX(INDEX(Plafonds_dépenses_éligibles!$B$2:$F$35,MATCH(C49,Plafonds_dépenses_éligibles!$C$2:$C$35,0),5)/2-SUMIFS(Z$43:Z48,C$43:C48,C49), 0),  INDEX(Plafonds_dépenses_éligibles!$B$2:$F$35,MATCH(C49,Plafonds_dépenses_éligibles!$C$2:$C$35,0),5)/2)))</f>
        <v>Veuillez indiquer si le matériel est neuf ou d'occasion</v>
      </c>
      <c r="AB49" s="27" t="str">
        <f>IF(F49="", "Veuillez indiquer si le matériel est neuf ou d'occasion", INDEX(Plafonds_dépenses_éligibles!$B$2:$F$35, MATCH(C49, Plafonds_dépenses_éligibles!$C$2:$C$35, 0), 4))</f>
        <v>Veuillez indiquer si le matériel est neuf ou d'occasion</v>
      </c>
      <c r="AC49" s="81" t="str">
        <f>IF(B49="", "NC",
IF(NOT(AN49="Categorie_1"),
IF(AV49= "TPE /PME", 'Matrices aides'!$D$9, 'Matrices aides'!$E$9)+30%*IF(AW49="Oui", 1, 0),
IF(AQ49="NC", "NC",
IF(AQ49="Non", 0,
INDEX('Matrices aides'!$B$25:$E$27, MATCH(AU49, 'Matrices aides'!$B$25:$B$27, 0), MATCH(AV49, 'Matrices aides'!$B$25:$E$25, 0))+30%*IF(AW49="Oui", 1, 0)))))</f>
        <v>NC</v>
      </c>
      <c r="AD49" s="81" t="str">
        <f t="shared" si="6"/>
        <v>NC</v>
      </c>
      <c r="AE49" s="28" t="str">
        <f t="shared" si="7"/>
        <v>Veuillez renseigner correctement les parties 1 à 2 et les cases bleues</v>
      </c>
      <c r="AF49" s="26" t="str">
        <f t="shared" si="8"/>
        <v/>
      </c>
      <c r="AG49" s="26" t="str">
        <f>IF(NOT(AN49="Categorie_1"),"",
IF(AK49="NC","NC",
IF(AR49="Oui","Faible impact",IF(AK49&gt;'Matrices aides'!$D$17,"Impact trop élevé","Impact modéré"))))</f>
        <v/>
      </c>
      <c r="AH49" s="26" t="str">
        <f t="shared" si="9"/>
        <v/>
      </c>
      <c r="AI49" s="37" t="str">
        <f>IF(NOT(AN49="Categorie_1"),"",
IF(AH49="NC","NC",
IF(AS49="Oui","Faible impact",IF(AL49&gt;'Matrices aides'!$D$21,"Impact trop élevé","Impact modéré"))))</f>
        <v/>
      </c>
      <c r="AK49" s="83" t="str">
        <f t="shared" si="10"/>
        <v>NC</v>
      </c>
      <c r="AL49" s="83" t="str">
        <f t="shared" si="11"/>
        <v>NC</v>
      </c>
      <c r="AM49" s="84" t="str">
        <f t="shared" si="12"/>
        <v>NC</v>
      </c>
      <c r="AN49" s="82" t="str">
        <f t="shared" si="2"/>
        <v>Categorie_</v>
      </c>
      <c r="AO49" s="82" t="str">
        <f t="shared" si="13"/>
        <v>Non</v>
      </c>
      <c r="AP49" s="82" t="str">
        <f t="shared" si="14"/>
        <v>Non</v>
      </c>
      <c r="AQ49" s="82" t="str">
        <f>IF(B49="", "NC",
IF(NOT(AN49="Categorie_1"), "Oui",
IF(AND(AK49="NC", Mes_investissements!AL49&lt;='Matrices aides'!$D$21), "Oui",
IF(AND(AK49&lt;='Matrices aides'!$D$17, Mes_investissements!AL49&lt;='Matrices aides'!$D$21), "Oui", "Non"))))</f>
        <v>NC</v>
      </c>
      <c r="AR49" s="82" t="str">
        <f>IF(AN49="Categorie_1",
IF(I49="Chenilles", "NC",
IF(AK49&lt; INDEX(Seuils_CaR_et_PSS!$C$17:$F$26, MATCH($C49, Seuils_CaR_et_PSS!$C$17:$C$26,0), 2),"Oui","Non")),
"NC")</f>
        <v>NC</v>
      </c>
      <c r="AS49" s="82" t="str">
        <f>IF(AN49="Categorie_1",
IF(AND($C$23="Oui",AL49&lt;='Matrices aides'!$D$85),"Oui",
IF(AND($C$23="Oui",AL49&gt;'Matrices aides'!$D$85),"Non",
IF(AL49&lt;INDEX(Seuils_CaR_et_PSS!$C$17:$F$26,MATCH($C49,Seuils_CaR_et_PSS!$C$17:$C$26,0),3),"Oui", "Non"))),
"NC")</f>
        <v>NC</v>
      </c>
      <c r="AT49" s="82" t="str">
        <f>IF(AN49="Categorie_1",
IF(AM49="NC","NC",IF(AM49&lt;'Matrices aides'!$D$23,"Non","Oui")),
"NC")</f>
        <v>NC</v>
      </c>
      <c r="AU49" s="82" t="str">
        <f>IF(AS49="Non","Réduit",IF(AT49="Non",
IF(AND(C49=Seuils_CaR_et_PSS!$C$15,AR49="Oui"),"Bonifié","Réduit"),
IF(AR49="Non",IF(AND(C49=Seuils_CaR_et_PSS!$C$15,AM49&gt;='Matrices aides'!$D$23),"Bonifié","Réduit"),"Bonifié")))</f>
        <v>Bonifié</v>
      </c>
      <c r="AV49" s="82">
        <f t="shared" si="15"/>
        <v>0</v>
      </c>
      <c r="AW49" s="82" t="e">
        <f t="shared" si="16"/>
        <v>#N/A</v>
      </c>
      <c r="AY49" s="13"/>
    </row>
    <row r="50" spans="1:51" ht="50.15" customHeight="1" x14ac:dyDescent="0.35">
      <c r="A50" s="22">
        <v>7</v>
      </c>
      <c r="B50" s="30"/>
      <c r="C50" s="30"/>
      <c r="D50" s="88" t="str">
        <f>IF(C50="", "",
IF((INDEX(Plafonds_dépenses_éligibles!$B$2:$F$35, MATCH(C50, Plafonds_dépenses_éligibles!$C$2:$C$35, 0), 3))="", "", INDEX(Plafonds_dépenses_éligibles!$B$2:$F$35, MATCH(C50, Plafonds_dépenses_éligibles!$C$2:$C$35, 0), 3)))</f>
        <v/>
      </c>
      <c r="E50" s="89"/>
      <c r="F50" s="31" t="str">
        <f t="shared" si="3"/>
        <v/>
      </c>
      <c r="G50" s="33"/>
      <c r="H50" s="86"/>
      <c r="I50" s="32"/>
      <c r="J50" s="34"/>
      <c r="K50" s="34"/>
      <c r="L50" s="32"/>
      <c r="M50" s="34"/>
      <c r="N50" s="35"/>
      <c r="O50" s="36"/>
      <c r="P50" s="32"/>
      <c r="Q50" s="34"/>
      <c r="R50" s="35"/>
      <c r="S50" s="36"/>
      <c r="T50" s="102"/>
      <c r="U50" s="105"/>
      <c r="V50" s="103"/>
      <c r="W50" s="104"/>
      <c r="X50" s="97" t="str">
        <f t="shared" si="4"/>
        <v/>
      </c>
      <c r="Y50" s="45"/>
      <c r="Z50" s="96" t="str">
        <f t="shared" si="5"/>
        <v/>
      </c>
      <c r="AA50" s="27" t="str">
        <f>IF(F50="", "Veuillez indiquer si le matériel est neuf ou d'occasion",
IF(F50="Neuf",
IF(AB50="Par entreprise",
MAX(INDEX(Plafonds_dépenses_éligibles!$B$2:$F$35,MATCH(C50,Plafonds_dépenses_éligibles!$C$2:$C$35,0),5)-SUMIFS(Z$43:Z49,C$43:C49,C50), 0),  INDEX(Plafonds_dépenses_éligibles!$B$2:$F$35,MATCH(C50,Plafonds_dépenses_éligibles!$C$2:$C$35,0),5)),
IF(AB50="Par entreprise", MAX(INDEX(Plafonds_dépenses_éligibles!$B$2:$F$35,MATCH(C50,Plafonds_dépenses_éligibles!$C$2:$C$35,0),5)/2-SUMIFS(Z$43:Z49,C$43:C49,C50), 0),  INDEX(Plafonds_dépenses_éligibles!$B$2:$F$35,MATCH(C50,Plafonds_dépenses_éligibles!$C$2:$C$35,0),5)/2)))</f>
        <v>Veuillez indiquer si le matériel est neuf ou d'occasion</v>
      </c>
      <c r="AB50" s="27" t="str">
        <f>IF(F50="", "Veuillez indiquer si le matériel est neuf ou d'occasion", INDEX(Plafonds_dépenses_éligibles!$B$2:$F$35, MATCH(C50, Plafonds_dépenses_éligibles!$C$2:$C$35, 0), 4))</f>
        <v>Veuillez indiquer si le matériel est neuf ou d'occasion</v>
      </c>
      <c r="AC50" s="81" t="str">
        <f>IF(B50="", "NC",
IF(NOT(AN50="Categorie_1"),
IF(AV50= "TPE /PME", 'Matrices aides'!$D$9, 'Matrices aides'!$E$9)+30%*IF(AW50="Oui", 1, 0),
IF(AQ50="NC", "NC",
IF(AQ50="Non", 0,
INDEX('Matrices aides'!$B$25:$E$27, MATCH(AU50, 'Matrices aides'!$B$25:$B$27, 0), MATCH(AV50, 'Matrices aides'!$B$25:$E$25, 0))+30%*IF(AW50="Oui", 1, 0)))))</f>
        <v>NC</v>
      </c>
      <c r="AD50" s="81" t="str">
        <f t="shared" si="6"/>
        <v>NC</v>
      </c>
      <c r="AE50" s="28" t="str">
        <f t="shared" si="7"/>
        <v>Veuillez renseigner correctement les parties 1 à 2 et les cases bleues</v>
      </c>
      <c r="AF50" s="26" t="str">
        <f t="shared" si="8"/>
        <v/>
      </c>
      <c r="AG50" s="26" t="str">
        <f>IF(NOT(AN50="Categorie_1"),"",
IF(AK50="NC","NC",
IF(AR50="Oui","Faible impact",IF(AK50&gt;'Matrices aides'!$D$17,"Impact trop élevé","Impact modéré"))))</f>
        <v/>
      </c>
      <c r="AH50" s="26" t="str">
        <f t="shared" si="9"/>
        <v/>
      </c>
      <c r="AI50" s="37" t="str">
        <f>IF(NOT(AN50="Categorie_1"),"",
IF(AH50="NC","NC",
IF(AS50="Oui","Faible impact",IF(AL50&gt;'Matrices aides'!$D$21,"Impact trop élevé","Impact modéré"))))</f>
        <v/>
      </c>
      <c r="AK50" s="83" t="str">
        <f t="shared" si="10"/>
        <v>NC</v>
      </c>
      <c r="AL50" s="83" t="str">
        <f t="shared" si="11"/>
        <v>NC</v>
      </c>
      <c r="AM50" s="84" t="str">
        <f t="shared" si="12"/>
        <v>NC</v>
      </c>
      <c r="AN50" s="82" t="str">
        <f t="shared" si="2"/>
        <v>Categorie_</v>
      </c>
      <c r="AO50" s="82" t="str">
        <f t="shared" si="13"/>
        <v>Non</v>
      </c>
      <c r="AP50" s="82" t="str">
        <f t="shared" si="14"/>
        <v>Non</v>
      </c>
      <c r="AQ50" s="82" t="str">
        <f>IF(B50="", "NC",
IF(NOT(AN50="Categorie_1"), "Oui",
IF(AND(AK50="NC", Mes_investissements!AL50&lt;='Matrices aides'!$D$21), "Oui",
IF(AND(AK50&lt;='Matrices aides'!$D$17, Mes_investissements!AL50&lt;='Matrices aides'!$D$21), "Oui", "Non"))))</f>
        <v>NC</v>
      </c>
      <c r="AR50" s="82" t="str">
        <f>IF(AN50="Categorie_1",
IF(I50="Chenilles", "NC",
IF(AK50&lt; INDEX(Seuils_CaR_et_PSS!$C$17:$F$26, MATCH($C50, Seuils_CaR_et_PSS!$C$17:$C$26,0), 2),"Oui","Non")),
"NC")</f>
        <v>NC</v>
      </c>
      <c r="AS50" s="82" t="str">
        <f>IF(AN50="Categorie_1",
IF(AND($C$23="Oui",AL50&lt;='Matrices aides'!$D$85),"Oui",
IF(AND($C$23="Oui",AL50&gt;'Matrices aides'!$D$85),"Non",
IF(AL50&lt;INDEX(Seuils_CaR_et_PSS!$C$17:$F$26,MATCH($C50,Seuils_CaR_et_PSS!$C$17:$C$26,0),3),"Oui", "Non"))),
"NC")</f>
        <v>NC</v>
      </c>
      <c r="AT50" s="82" t="str">
        <f>IF(AN50="Categorie_1",
IF(AM50="NC","NC",IF(AM50&lt;'Matrices aides'!$D$23,"Non","Oui")),
"NC")</f>
        <v>NC</v>
      </c>
      <c r="AU50" s="82" t="str">
        <f>IF(AS50="Non","Réduit",IF(AT50="Non",
IF(AND(C50=Seuils_CaR_et_PSS!$C$15,AR50="Oui"),"Bonifié","Réduit"),
IF(AR50="Non",IF(AND(C50=Seuils_CaR_et_PSS!$C$15,AM50&gt;='Matrices aides'!$D$23),"Bonifié","Réduit"),"Bonifié")))</f>
        <v>Bonifié</v>
      </c>
      <c r="AV50" s="82">
        <f t="shared" si="15"/>
        <v>0</v>
      </c>
      <c r="AW50" s="82" t="e">
        <f t="shared" si="16"/>
        <v>#N/A</v>
      </c>
    </row>
    <row r="51" spans="1:51" ht="50.15" customHeight="1" x14ac:dyDescent="0.35">
      <c r="A51" s="22">
        <v>8</v>
      </c>
      <c r="B51" s="30"/>
      <c r="C51" s="30"/>
      <c r="D51" s="88" t="str">
        <f>IF(C51="", "",
IF((INDEX(Plafonds_dépenses_éligibles!$B$2:$F$35, MATCH(C51, Plafonds_dépenses_éligibles!$C$2:$C$35, 0), 3))="", "", INDEX(Plafonds_dépenses_éligibles!$B$2:$F$35, MATCH(C51, Plafonds_dépenses_éligibles!$C$2:$C$35, 0), 3)))</f>
        <v/>
      </c>
      <c r="E51" s="89"/>
      <c r="F51" s="31" t="str">
        <f t="shared" si="3"/>
        <v/>
      </c>
      <c r="G51" s="33"/>
      <c r="H51" s="86"/>
      <c r="I51" s="32"/>
      <c r="J51" s="34"/>
      <c r="K51" s="34"/>
      <c r="L51" s="32"/>
      <c r="M51" s="34"/>
      <c r="N51" s="35"/>
      <c r="O51" s="36"/>
      <c r="P51" s="32"/>
      <c r="Q51" s="34"/>
      <c r="R51" s="35"/>
      <c r="S51" s="36"/>
      <c r="T51" s="102"/>
      <c r="U51" s="105"/>
      <c r="V51" s="103"/>
      <c r="W51" s="104"/>
      <c r="X51" s="97" t="str">
        <f t="shared" si="4"/>
        <v/>
      </c>
      <c r="Y51" s="45"/>
      <c r="Z51" s="96" t="str">
        <f t="shared" si="5"/>
        <v/>
      </c>
      <c r="AA51" s="27" t="str">
        <f>IF(F51="", "Veuillez indiquer si le matériel est neuf ou d'occasion",
IF(F51="Neuf",
IF(AB51="Par entreprise",
MAX(INDEX(Plafonds_dépenses_éligibles!$B$2:$F$35,MATCH(C51,Plafonds_dépenses_éligibles!$C$2:$C$35,0),5)-SUMIFS(Z$43:Z50,C$43:C50,C51), 0),  INDEX(Plafonds_dépenses_éligibles!$B$2:$F$35,MATCH(C51,Plafonds_dépenses_éligibles!$C$2:$C$35,0),5)),
IF(AB51="Par entreprise", MAX(INDEX(Plafonds_dépenses_éligibles!$B$2:$F$35,MATCH(C51,Plafonds_dépenses_éligibles!$C$2:$C$35,0),5)/2-SUMIFS(Z$43:Z50,C$43:C50,C51), 0),  INDEX(Plafonds_dépenses_éligibles!$B$2:$F$35,MATCH(C51,Plafonds_dépenses_éligibles!$C$2:$C$35,0),5)/2)))</f>
        <v>Veuillez indiquer si le matériel est neuf ou d'occasion</v>
      </c>
      <c r="AB51" s="27" t="str">
        <f>IF(F51="", "Veuillez indiquer si le matériel est neuf ou d'occasion", INDEX(Plafonds_dépenses_éligibles!$B$2:$F$35, MATCH(C51, Plafonds_dépenses_éligibles!$C$2:$C$35, 0), 4))</f>
        <v>Veuillez indiquer si le matériel est neuf ou d'occasion</v>
      </c>
      <c r="AC51" s="81" t="str">
        <f>IF(B51="", "NC",
IF(NOT(AN51="Categorie_1"),
IF(AV51= "TPE /PME", 'Matrices aides'!$D$9, 'Matrices aides'!$E$9)+30%*IF(AW51="Oui", 1, 0),
IF(AQ51="NC", "NC",
IF(AQ51="Non", 0,
INDEX('Matrices aides'!$B$25:$E$27, MATCH(AU51, 'Matrices aides'!$B$25:$B$27, 0), MATCH(AV51, 'Matrices aides'!$B$25:$E$25, 0))+30%*IF(AW51="Oui", 1, 0)))))</f>
        <v>NC</v>
      </c>
      <c r="AD51" s="81" t="str">
        <f t="shared" si="6"/>
        <v>NC</v>
      </c>
      <c r="AE51" s="28" t="str">
        <f t="shared" si="7"/>
        <v>Veuillez renseigner correctement les parties 1 à 2 et les cases bleues</v>
      </c>
      <c r="AF51" s="26" t="str">
        <f t="shared" si="8"/>
        <v/>
      </c>
      <c r="AG51" s="26" t="str">
        <f>IF(NOT(AN51="Categorie_1"),"",
IF(AK51="NC","NC",
IF(AR51="Oui","Faible impact",IF(AK51&gt;'Matrices aides'!$D$17,"Impact trop élevé","Impact modéré"))))</f>
        <v/>
      </c>
      <c r="AH51" s="26" t="str">
        <f t="shared" si="9"/>
        <v/>
      </c>
      <c r="AI51" s="37" t="str">
        <f>IF(NOT(AN51="Categorie_1"),"",
IF(AH51="NC","NC",
IF(AS51="Oui","Faible impact",IF(AL51&gt;'Matrices aides'!$D$21,"Impact trop élevé","Impact modéré"))))</f>
        <v/>
      </c>
      <c r="AK51" s="83" t="str">
        <f t="shared" si="10"/>
        <v>NC</v>
      </c>
      <c r="AL51" s="83" t="str">
        <f t="shared" si="11"/>
        <v>NC</v>
      </c>
      <c r="AM51" s="84" t="str">
        <f t="shared" si="12"/>
        <v>NC</v>
      </c>
      <c r="AN51" s="82" t="str">
        <f t="shared" si="2"/>
        <v>Categorie_</v>
      </c>
      <c r="AO51" s="82" t="str">
        <f t="shared" si="13"/>
        <v>Non</v>
      </c>
      <c r="AP51" s="82" t="str">
        <f t="shared" si="14"/>
        <v>Non</v>
      </c>
      <c r="AQ51" s="82" t="str">
        <f>IF(B51="", "NC",
IF(NOT(AN51="Categorie_1"), "Oui",
IF(AND(AK51="NC", Mes_investissements!AL51&lt;='Matrices aides'!$D$21), "Oui",
IF(AND(AK51&lt;='Matrices aides'!$D$17, Mes_investissements!AL51&lt;='Matrices aides'!$D$21), "Oui", "Non"))))</f>
        <v>NC</v>
      </c>
      <c r="AR51" s="82" t="str">
        <f>IF(AN51="Categorie_1",
IF(I51="Chenilles", "NC",
IF(AK51&lt; INDEX(Seuils_CaR_et_PSS!$C$17:$F$26, MATCH($C51, Seuils_CaR_et_PSS!$C$17:$C$26,0), 2),"Oui","Non")),
"NC")</f>
        <v>NC</v>
      </c>
      <c r="AS51" s="82" t="str">
        <f>IF(AN51="Categorie_1",
IF(AND($C$23="Oui",AL51&lt;='Matrices aides'!$D$85),"Oui",
IF(AND($C$23="Oui",AL51&gt;'Matrices aides'!$D$85),"Non",
IF(AL51&lt;INDEX(Seuils_CaR_et_PSS!$C$17:$F$26,MATCH($C51,Seuils_CaR_et_PSS!$C$17:$C$26,0),3),"Oui", "Non"))),
"NC")</f>
        <v>NC</v>
      </c>
      <c r="AT51" s="82" t="str">
        <f>IF(AN51="Categorie_1",
IF(AM51="NC","NC",IF(AM51&lt;'Matrices aides'!$D$23,"Non","Oui")),
"NC")</f>
        <v>NC</v>
      </c>
      <c r="AU51" s="82" t="str">
        <f>IF(AS51="Non","Réduit",IF(AT51="Non",
IF(AND(C51=Seuils_CaR_et_PSS!$C$15,AR51="Oui"),"Bonifié","Réduit"),
IF(AR51="Non",IF(AND(C51=Seuils_CaR_et_PSS!$C$15,AM51&gt;='Matrices aides'!$D$23),"Bonifié","Réduit"),"Bonifié")))</f>
        <v>Bonifié</v>
      </c>
      <c r="AV51" s="82">
        <f t="shared" si="15"/>
        <v>0</v>
      </c>
      <c r="AW51" s="82" t="e">
        <f t="shared" si="16"/>
        <v>#N/A</v>
      </c>
    </row>
    <row r="52" spans="1:51" ht="50.15" customHeight="1" x14ac:dyDescent="0.35">
      <c r="A52" s="22">
        <v>9</v>
      </c>
      <c r="B52" s="30"/>
      <c r="C52" s="30"/>
      <c r="D52" s="88" t="str">
        <f>IF(C52="", "",
IF((INDEX(Plafonds_dépenses_éligibles!$B$2:$F$35, MATCH(C52, Plafonds_dépenses_éligibles!$C$2:$C$35, 0), 3))="", "", INDEX(Plafonds_dépenses_éligibles!$B$2:$F$35, MATCH(C52, Plafonds_dépenses_éligibles!$C$2:$C$35, 0), 3)))</f>
        <v/>
      </c>
      <c r="E52" s="89"/>
      <c r="F52" s="31" t="str">
        <f t="shared" si="3"/>
        <v/>
      </c>
      <c r="G52" s="33"/>
      <c r="H52" s="86"/>
      <c r="I52" s="32"/>
      <c r="J52" s="34"/>
      <c r="K52" s="34"/>
      <c r="L52" s="32"/>
      <c r="M52" s="34"/>
      <c r="N52" s="35"/>
      <c r="O52" s="36"/>
      <c r="P52" s="32"/>
      <c r="Q52" s="34"/>
      <c r="R52" s="35"/>
      <c r="S52" s="36"/>
      <c r="T52" s="102"/>
      <c r="U52" s="105"/>
      <c r="V52" s="103"/>
      <c r="W52" s="104"/>
      <c r="X52" s="97" t="str">
        <f t="shared" si="4"/>
        <v/>
      </c>
      <c r="Y52" s="45"/>
      <c r="Z52" s="96" t="str">
        <f t="shared" si="5"/>
        <v/>
      </c>
      <c r="AA52" s="27" t="str">
        <f>IF(F52="", "Veuillez indiquer si le matériel est neuf ou d'occasion",
IF(F52="Neuf",
IF(AB52="Par entreprise",
MAX(INDEX(Plafonds_dépenses_éligibles!$B$2:$F$35,MATCH(C52,Plafonds_dépenses_éligibles!$C$2:$C$35,0),5)-SUMIFS(Z$43:Z51,C$43:C51,C52), 0),  INDEX(Plafonds_dépenses_éligibles!$B$2:$F$35,MATCH(C52,Plafonds_dépenses_éligibles!$C$2:$C$35,0),5)),
IF(AB52="Par entreprise", MAX(INDEX(Plafonds_dépenses_éligibles!$B$2:$F$35,MATCH(C52,Plafonds_dépenses_éligibles!$C$2:$C$35,0),5)/2-SUMIFS(Z$43:Z51,C$43:C51,C52), 0),  INDEX(Plafonds_dépenses_éligibles!$B$2:$F$35,MATCH(C52,Plafonds_dépenses_éligibles!$C$2:$C$35,0),5)/2)))</f>
        <v>Veuillez indiquer si le matériel est neuf ou d'occasion</v>
      </c>
      <c r="AB52" s="27" t="str">
        <f>IF(F52="", "Veuillez indiquer si le matériel est neuf ou d'occasion", INDEX(Plafonds_dépenses_éligibles!$B$2:$F$35, MATCH(C52, Plafonds_dépenses_éligibles!$C$2:$C$35, 0), 4))</f>
        <v>Veuillez indiquer si le matériel est neuf ou d'occasion</v>
      </c>
      <c r="AC52" s="81" t="str">
        <f>IF(B52="", "NC",
IF(NOT(AN52="Categorie_1"),
IF(AV52= "TPE /PME", 'Matrices aides'!$D$9, 'Matrices aides'!$E$9)+30%*IF(AW52="Oui", 1, 0),
IF(AQ52="NC", "NC",
IF(AQ52="Non", 0,
INDEX('Matrices aides'!$B$25:$E$27, MATCH(AU52, 'Matrices aides'!$B$25:$B$27, 0), MATCH(AV52, 'Matrices aides'!$B$25:$E$25, 0))+30%*IF(AW52="Oui", 1, 0)))))</f>
        <v>NC</v>
      </c>
      <c r="AD52" s="81" t="str">
        <f t="shared" si="6"/>
        <v>NC</v>
      </c>
      <c r="AE52" s="28" t="str">
        <f t="shared" si="7"/>
        <v>Veuillez renseigner correctement les parties 1 à 2 et les cases bleues</v>
      </c>
      <c r="AF52" s="26" t="str">
        <f t="shared" si="8"/>
        <v/>
      </c>
      <c r="AG52" s="26" t="str">
        <f>IF(NOT(AN52="Categorie_1"),"",
IF(AK52="NC","NC",
IF(AR52="Oui","Faible impact",IF(AK52&gt;'Matrices aides'!$D$17,"Impact trop élevé","Impact modéré"))))</f>
        <v/>
      </c>
      <c r="AH52" s="26" t="str">
        <f t="shared" si="9"/>
        <v/>
      </c>
      <c r="AI52" s="37" t="str">
        <f>IF(NOT(AN52="Categorie_1"),"",
IF(AH52="NC","NC",
IF(AS52="Oui","Faible impact",IF(AL52&gt;'Matrices aides'!$D$21,"Impact trop élevé","Impact modéré"))))</f>
        <v/>
      </c>
      <c r="AK52" s="83" t="str">
        <f t="shared" si="10"/>
        <v>NC</v>
      </c>
      <c r="AL52" s="83" t="str">
        <f t="shared" si="11"/>
        <v>NC</v>
      </c>
      <c r="AM52" s="84" t="str">
        <f t="shared" si="12"/>
        <v>NC</v>
      </c>
      <c r="AN52" s="82" t="str">
        <f t="shared" si="2"/>
        <v>Categorie_</v>
      </c>
      <c r="AO52" s="82" t="str">
        <f t="shared" si="13"/>
        <v>Non</v>
      </c>
      <c r="AP52" s="82" t="str">
        <f t="shared" si="14"/>
        <v>Non</v>
      </c>
      <c r="AQ52" s="82" t="str">
        <f>IF(B52="", "NC",
IF(NOT(AN52="Categorie_1"), "Oui",
IF(AND(AK52="NC", Mes_investissements!AL52&lt;='Matrices aides'!$D$21), "Oui",
IF(AND(AK52&lt;='Matrices aides'!$D$17, Mes_investissements!AL52&lt;='Matrices aides'!$D$21), "Oui", "Non"))))</f>
        <v>NC</v>
      </c>
      <c r="AR52" s="82" t="str">
        <f>IF(AN52="Categorie_1",
IF(I52="Chenilles", "NC",
IF(AK52&lt; INDEX(Seuils_CaR_et_PSS!$C$17:$F$26, MATCH($C52, Seuils_CaR_et_PSS!$C$17:$C$26,0), 2),"Oui","Non")),
"NC")</f>
        <v>NC</v>
      </c>
      <c r="AS52" s="82" t="str">
        <f>IF(AN52="Categorie_1",
IF(AND($C$23="Oui",AL52&lt;='Matrices aides'!$D$85),"Oui",
IF(AND($C$23="Oui",AL52&gt;'Matrices aides'!$D$85),"Non",
IF(AL52&lt;INDEX(Seuils_CaR_et_PSS!$C$17:$F$26,MATCH($C52,Seuils_CaR_et_PSS!$C$17:$C$26,0),3),"Oui", "Non"))),
"NC")</f>
        <v>NC</v>
      </c>
      <c r="AT52" s="82" t="str">
        <f>IF(AN52="Categorie_1",
IF(AM52="NC","NC",IF(AM52&lt;'Matrices aides'!$D$23,"Non","Oui")),
"NC")</f>
        <v>NC</v>
      </c>
      <c r="AU52" s="82" t="str">
        <f>IF(AS52="Non","Réduit",IF(AT52="Non",
IF(AND(C52=Seuils_CaR_et_PSS!$C$15,AR52="Oui"),"Bonifié","Réduit"),
IF(AR52="Non",IF(AND(C52=Seuils_CaR_et_PSS!$C$15,AM52&gt;='Matrices aides'!$D$23),"Bonifié","Réduit"),"Bonifié")))</f>
        <v>Bonifié</v>
      </c>
      <c r="AV52" s="82">
        <f t="shared" si="15"/>
        <v>0</v>
      </c>
      <c r="AW52" s="82" t="e">
        <f t="shared" si="16"/>
        <v>#N/A</v>
      </c>
    </row>
    <row r="53" spans="1:51" ht="50.15" customHeight="1" x14ac:dyDescent="0.35">
      <c r="A53" s="22">
        <v>10</v>
      </c>
      <c r="B53" s="30"/>
      <c r="C53" s="30"/>
      <c r="D53" s="88" t="str">
        <f>IF(C53="", "",
IF((INDEX(Plafonds_dépenses_éligibles!$B$2:$F$35, MATCH(C53, Plafonds_dépenses_éligibles!$C$2:$C$35, 0), 3))="", "", INDEX(Plafonds_dépenses_éligibles!$B$2:$F$35, MATCH(C53, Plafonds_dépenses_éligibles!$C$2:$C$35, 0), 3)))</f>
        <v/>
      </c>
      <c r="E53" s="89"/>
      <c r="F53" s="31" t="str">
        <f t="shared" si="3"/>
        <v/>
      </c>
      <c r="G53" s="33"/>
      <c r="H53" s="86"/>
      <c r="I53" s="32"/>
      <c r="J53" s="34"/>
      <c r="K53" s="34"/>
      <c r="L53" s="32"/>
      <c r="M53" s="34"/>
      <c r="N53" s="35"/>
      <c r="O53" s="36"/>
      <c r="P53" s="32"/>
      <c r="Q53" s="34"/>
      <c r="R53" s="35"/>
      <c r="S53" s="36"/>
      <c r="T53" s="102"/>
      <c r="U53" s="105"/>
      <c r="V53" s="103"/>
      <c r="W53" s="104"/>
      <c r="X53" s="97" t="str">
        <f t="shared" si="4"/>
        <v/>
      </c>
      <c r="Y53" s="45"/>
      <c r="Z53" s="96" t="str">
        <f t="shared" si="5"/>
        <v/>
      </c>
      <c r="AA53" s="27" t="str">
        <f>IF(F53="", "Veuillez indiquer si le matériel est neuf ou d'occasion",
IF(F53="Neuf",
IF(AB53="Par entreprise",
MAX(INDEX(Plafonds_dépenses_éligibles!$B$2:$F$35,MATCH(C53,Plafonds_dépenses_éligibles!$C$2:$C$35,0),5)-SUMIFS(Z$43:Z52,C$43:C52,C53), 0),  INDEX(Plafonds_dépenses_éligibles!$B$2:$F$35,MATCH(C53,Plafonds_dépenses_éligibles!$C$2:$C$35,0),5)),
IF(AB53="Par entreprise", MAX(INDEX(Plafonds_dépenses_éligibles!$B$2:$F$35,MATCH(C53,Plafonds_dépenses_éligibles!$C$2:$C$35,0),5)/2-SUMIFS(Z$43:Z52,C$43:C52,C53), 0),  INDEX(Plafonds_dépenses_éligibles!$B$2:$F$35,MATCH(C53,Plafonds_dépenses_éligibles!$C$2:$C$35,0),5)/2)))</f>
        <v>Veuillez indiquer si le matériel est neuf ou d'occasion</v>
      </c>
      <c r="AB53" s="27" t="str">
        <f>IF(F53="", "Veuillez indiquer si le matériel est neuf ou d'occasion", INDEX(Plafonds_dépenses_éligibles!$B$2:$F$35, MATCH(C53, Plafonds_dépenses_éligibles!$C$2:$C$35, 0), 4))</f>
        <v>Veuillez indiquer si le matériel est neuf ou d'occasion</v>
      </c>
      <c r="AC53" s="81" t="str">
        <f>IF(B53="", "NC",
IF(NOT(AN53="Categorie_1"),
IF(AV53= "TPE /PME", 'Matrices aides'!$D$9, 'Matrices aides'!$E$9)+30%*IF(AW53="Oui", 1, 0),
IF(AQ53="NC", "NC",
IF(AQ53="Non", 0,
INDEX('Matrices aides'!$B$25:$E$27, MATCH(AU53, 'Matrices aides'!$B$25:$B$27, 0), MATCH(AV53, 'Matrices aides'!$B$25:$E$25, 0))+30%*IF(AW53="Oui", 1, 0)))))</f>
        <v>NC</v>
      </c>
      <c r="AD53" s="81" t="str">
        <f t="shared" si="6"/>
        <v>NC</v>
      </c>
      <c r="AE53" s="28" t="str">
        <f t="shared" si="7"/>
        <v>Veuillez renseigner correctement les parties 1 à 2 et les cases bleues</v>
      </c>
      <c r="AF53" s="26" t="str">
        <f t="shared" si="8"/>
        <v/>
      </c>
      <c r="AG53" s="26" t="str">
        <f>IF(NOT(AN53="Categorie_1"),"",
IF(AK53="NC","NC",
IF(AR53="Oui","Faible impact",IF(AK53&gt;'Matrices aides'!$D$17,"Impact trop élevé","Impact modéré"))))</f>
        <v/>
      </c>
      <c r="AH53" s="26" t="str">
        <f t="shared" si="9"/>
        <v/>
      </c>
      <c r="AI53" s="37" t="str">
        <f>IF(NOT(AN53="Categorie_1"),"",
IF(AH53="NC","NC",
IF(AS53="Oui","Faible impact",IF(AL53&gt;'Matrices aides'!$D$21,"Impact trop élevé","Impact modéré"))))</f>
        <v/>
      </c>
      <c r="AK53" s="83" t="str">
        <f t="shared" si="10"/>
        <v>NC</v>
      </c>
      <c r="AL53" s="83" t="str">
        <f t="shared" si="11"/>
        <v>NC</v>
      </c>
      <c r="AM53" s="84" t="str">
        <f t="shared" si="12"/>
        <v>NC</v>
      </c>
      <c r="AN53" s="82" t="str">
        <f t="shared" si="2"/>
        <v>Categorie_</v>
      </c>
      <c r="AO53" s="82" t="str">
        <f t="shared" si="13"/>
        <v>Non</v>
      </c>
      <c r="AP53" s="82" t="str">
        <f t="shared" si="14"/>
        <v>Non</v>
      </c>
      <c r="AQ53" s="82" t="str">
        <f>IF(B53="", "NC",
IF(NOT(AN53="Categorie_1"), "Oui",
IF(AND(AK53="NC", Mes_investissements!AL53&lt;='Matrices aides'!$D$21), "Oui",
IF(AND(AK53&lt;='Matrices aides'!$D$17, Mes_investissements!AL53&lt;='Matrices aides'!$D$21), "Oui", "Non"))))</f>
        <v>NC</v>
      </c>
      <c r="AR53" s="82" t="str">
        <f>IF(AN53="Categorie_1",
IF(I53="Chenilles", "NC",
IF(AK53&lt; INDEX(Seuils_CaR_et_PSS!$C$17:$F$26, MATCH($C53, Seuils_CaR_et_PSS!$C$17:$C$26,0), 2),"Oui","Non")),
"NC")</f>
        <v>NC</v>
      </c>
      <c r="AS53" s="82" t="str">
        <f>IF(AN53="Categorie_1",
IF(AND($C$23="Oui",AL53&lt;='Matrices aides'!$D$85),"Oui",
IF(AND($C$23="Oui",AL53&gt;'Matrices aides'!$D$85),"Non",
IF(AL53&lt;INDEX(Seuils_CaR_et_PSS!$C$17:$F$26,MATCH($C53,Seuils_CaR_et_PSS!$C$17:$C$26,0),3),"Oui", "Non"))),
"NC")</f>
        <v>NC</v>
      </c>
      <c r="AT53" s="82" t="str">
        <f>IF(AN53="Categorie_1",
IF(AM53="NC","NC",IF(AM53&lt;'Matrices aides'!$D$23,"Non","Oui")),
"NC")</f>
        <v>NC</v>
      </c>
      <c r="AU53" s="82" t="str">
        <f>IF(AS53="Non","Réduit",IF(AT53="Non",
IF(AND(C53=Seuils_CaR_et_PSS!$C$15,AR53="Oui"),"Bonifié","Réduit"),
IF(AR53="Non",IF(AND(C53=Seuils_CaR_et_PSS!$C$15,AM53&gt;='Matrices aides'!$D$23),"Bonifié","Réduit"),"Bonifié")))</f>
        <v>Bonifié</v>
      </c>
      <c r="AV53" s="82">
        <f t="shared" si="15"/>
        <v>0</v>
      </c>
      <c r="AW53" s="82" t="e">
        <f t="shared" si="16"/>
        <v>#N/A</v>
      </c>
    </row>
    <row r="54" spans="1:51" ht="50.15" customHeight="1" x14ac:dyDescent="0.35">
      <c r="A54" s="22">
        <v>11</v>
      </c>
      <c r="B54" s="30"/>
      <c r="C54" s="30"/>
      <c r="D54" s="88" t="str">
        <f>IF(C54="", "",
IF((INDEX(Plafonds_dépenses_éligibles!$B$2:$F$35, MATCH(C54, Plafonds_dépenses_éligibles!$C$2:$C$35, 0), 3))="", "", INDEX(Plafonds_dépenses_éligibles!$B$2:$F$35, MATCH(C54, Plafonds_dépenses_éligibles!$C$2:$C$35, 0), 3)))</f>
        <v/>
      </c>
      <c r="E54" s="89"/>
      <c r="F54" s="31" t="str">
        <f t="shared" si="3"/>
        <v/>
      </c>
      <c r="G54" s="33"/>
      <c r="H54" s="86"/>
      <c r="I54" s="32"/>
      <c r="J54" s="34"/>
      <c r="K54" s="34"/>
      <c r="L54" s="32"/>
      <c r="M54" s="34"/>
      <c r="N54" s="35"/>
      <c r="O54" s="36"/>
      <c r="P54" s="32"/>
      <c r="Q54" s="34"/>
      <c r="R54" s="35"/>
      <c r="S54" s="36"/>
      <c r="T54" s="102"/>
      <c r="U54" s="105"/>
      <c r="V54" s="103"/>
      <c r="W54" s="104"/>
      <c r="X54" s="97" t="str">
        <f t="shared" si="4"/>
        <v/>
      </c>
      <c r="Y54" s="45"/>
      <c r="Z54" s="96" t="str">
        <f t="shared" si="5"/>
        <v/>
      </c>
      <c r="AA54" s="27" t="str">
        <f>IF(F54="", "Veuillez indiquer si le matériel est neuf ou d'occasion",
IF(F54="Neuf",
IF(AB54="Par entreprise",
MAX(INDEX(Plafonds_dépenses_éligibles!$B$2:$F$35,MATCH(C54,Plafonds_dépenses_éligibles!$C$2:$C$35,0),5)-SUMIFS(Z$43:Z53,C$43:C53,C54), 0),  INDEX(Plafonds_dépenses_éligibles!$B$2:$F$35,MATCH(C54,Plafonds_dépenses_éligibles!$C$2:$C$35,0),5)),
IF(AB54="Par entreprise", MAX(INDEX(Plafonds_dépenses_éligibles!$B$2:$F$35,MATCH(C54,Plafonds_dépenses_éligibles!$C$2:$C$35,0),5)/2-SUMIFS(Z$43:Z53,C$43:C53,C54), 0),  INDEX(Plafonds_dépenses_éligibles!$B$2:$F$35,MATCH(C54,Plafonds_dépenses_éligibles!$C$2:$C$35,0),5)/2)))</f>
        <v>Veuillez indiquer si le matériel est neuf ou d'occasion</v>
      </c>
      <c r="AB54" s="27" t="str">
        <f>IF(F54="", "Veuillez indiquer si le matériel est neuf ou d'occasion", INDEX(Plafonds_dépenses_éligibles!$B$2:$F$35, MATCH(C54, Plafonds_dépenses_éligibles!$C$2:$C$35, 0), 4))</f>
        <v>Veuillez indiquer si le matériel est neuf ou d'occasion</v>
      </c>
      <c r="AC54" s="81" t="str">
        <f>IF(B54="", "NC",
IF(NOT(AN54="Categorie_1"),
IF(AV54= "TPE /PME", 'Matrices aides'!$D$9, 'Matrices aides'!$E$9)+30%*IF(AW54="Oui", 1, 0),
IF(AQ54="NC", "NC",
IF(AQ54="Non", 0,
INDEX('Matrices aides'!$B$25:$E$27, MATCH(AU54, 'Matrices aides'!$B$25:$B$27, 0), MATCH(AV54, 'Matrices aides'!$B$25:$E$25, 0))+30%*IF(AW54="Oui", 1, 0)))))</f>
        <v>NC</v>
      </c>
      <c r="AD54" s="81" t="str">
        <f t="shared" si="6"/>
        <v>NC</v>
      </c>
      <c r="AE54" s="28" t="str">
        <f t="shared" si="7"/>
        <v>Veuillez renseigner correctement les parties 1 à 2 et les cases bleues</v>
      </c>
      <c r="AF54" s="26" t="str">
        <f t="shared" si="8"/>
        <v/>
      </c>
      <c r="AG54" s="26" t="str">
        <f>IF(NOT(AN54="Categorie_1"),"",
IF(AK54="NC","NC",
IF(AR54="Oui","Faible impact",IF(AK54&gt;'Matrices aides'!$D$17,"Impact trop élevé","Impact modéré"))))</f>
        <v/>
      </c>
      <c r="AH54" s="26" t="str">
        <f t="shared" si="9"/>
        <v/>
      </c>
      <c r="AI54" s="37" t="str">
        <f>IF(NOT(AN54="Categorie_1"),"",
IF(AH54="NC","NC",
IF(AS54="Oui","Faible impact",IF(AL54&gt;'Matrices aides'!$D$21,"Impact trop élevé","Impact modéré"))))</f>
        <v/>
      </c>
      <c r="AK54" s="83" t="str">
        <f t="shared" si="10"/>
        <v>NC</v>
      </c>
      <c r="AL54" s="83" t="str">
        <f t="shared" si="11"/>
        <v>NC</v>
      </c>
      <c r="AM54" s="84" t="str">
        <f t="shared" si="12"/>
        <v>NC</v>
      </c>
      <c r="AN54" s="82" t="str">
        <f t="shared" si="2"/>
        <v>Categorie_</v>
      </c>
      <c r="AO54" s="82" t="str">
        <f t="shared" si="13"/>
        <v>Non</v>
      </c>
      <c r="AP54" s="82" t="str">
        <f t="shared" si="14"/>
        <v>Non</v>
      </c>
      <c r="AQ54" s="82" t="str">
        <f>IF(B54="", "NC",
IF(NOT(AN54="Categorie_1"), "Oui",
IF(AND(AK54="NC", Mes_investissements!AL54&lt;='Matrices aides'!$D$21), "Oui",
IF(AND(AK54&lt;='Matrices aides'!$D$17, Mes_investissements!AL54&lt;='Matrices aides'!$D$21), "Oui", "Non"))))</f>
        <v>NC</v>
      </c>
      <c r="AR54" s="82" t="str">
        <f>IF(AN54="Categorie_1",
IF(I54="Chenilles", "NC",
IF(AK54&lt; INDEX(Seuils_CaR_et_PSS!$C$17:$F$26, MATCH($C54, Seuils_CaR_et_PSS!$C$17:$C$26,0), 2),"Oui","Non")),
"NC")</f>
        <v>NC</v>
      </c>
      <c r="AS54" s="82" t="str">
        <f>IF(AN54="Categorie_1",
IF(AND($C$23="Oui",AL54&lt;='Matrices aides'!$D$85),"Oui",
IF(AND($C$23="Oui",AL54&gt;'Matrices aides'!$D$85),"Non",
IF(AL54&lt;INDEX(Seuils_CaR_et_PSS!$C$17:$F$26,MATCH($C54,Seuils_CaR_et_PSS!$C$17:$C$26,0),3),"Oui", "Non"))),
"NC")</f>
        <v>NC</v>
      </c>
      <c r="AT54" s="82" t="str">
        <f>IF(AN54="Categorie_1",
IF(AM54="NC","NC",IF(AM54&lt;'Matrices aides'!$D$23,"Non","Oui")),
"NC")</f>
        <v>NC</v>
      </c>
      <c r="AU54" s="82" t="str">
        <f>IF(AS54="Non","Réduit",IF(AT54="Non",
IF(AND(C54=Seuils_CaR_et_PSS!$C$15,AR54="Oui"),"Bonifié","Réduit"),
IF(AR54="Non",IF(AND(C54=Seuils_CaR_et_PSS!$C$15,AM54&gt;='Matrices aides'!$D$23),"Bonifié","Réduit"),"Bonifié")))</f>
        <v>Bonifié</v>
      </c>
      <c r="AV54" s="82">
        <f t="shared" si="15"/>
        <v>0</v>
      </c>
      <c r="AW54" s="82" t="e">
        <f t="shared" si="16"/>
        <v>#N/A</v>
      </c>
    </row>
    <row r="55" spans="1:51" ht="50.15" customHeight="1" x14ac:dyDescent="0.35">
      <c r="A55" s="22">
        <v>12</v>
      </c>
      <c r="B55" s="30"/>
      <c r="C55" s="30"/>
      <c r="D55" s="88" t="str">
        <f>IF(C55="", "",
IF((INDEX(Plafonds_dépenses_éligibles!$B$2:$F$35, MATCH(C55, Plafonds_dépenses_éligibles!$C$2:$C$35, 0), 3))="", "", INDEX(Plafonds_dépenses_éligibles!$B$2:$F$35, MATCH(C55, Plafonds_dépenses_éligibles!$C$2:$C$35, 0), 3)))</f>
        <v/>
      </c>
      <c r="E55" s="89"/>
      <c r="F55" s="31" t="str">
        <f t="shared" si="3"/>
        <v/>
      </c>
      <c r="G55" s="33"/>
      <c r="H55" s="86"/>
      <c r="I55" s="32"/>
      <c r="J55" s="34"/>
      <c r="K55" s="34"/>
      <c r="L55" s="32"/>
      <c r="M55" s="34"/>
      <c r="N55" s="35"/>
      <c r="O55" s="36"/>
      <c r="P55" s="32"/>
      <c r="Q55" s="34"/>
      <c r="R55" s="35"/>
      <c r="S55" s="36"/>
      <c r="T55" s="102"/>
      <c r="U55" s="105"/>
      <c r="V55" s="103"/>
      <c r="W55" s="104"/>
      <c r="X55" s="97" t="str">
        <f t="shared" si="4"/>
        <v/>
      </c>
      <c r="Y55" s="45"/>
      <c r="Z55" s="96" t="str">
        <f t="shared" si="5"/>
        <v/>
      </c>
      <c r="AA55" s="27" t="str">
        <f>IF(F55="", "Veuillez indiquer si le matériel est neuf ou d'occasion",
IF(F55="Neuf",
IF(AB55="Par entreprise",
MAX(INDEX(Plafonds_dépenses_éligibles!$B$2:$F$35,MATCH(C55,Plafonds_dépenses_éligibles!$C$2:$C$35,0),5)-SUMIFS(Z$43:Z54,C$43:C54,C55), 0),  INDEX(Plafonds_dépenses_éligibles!$B$2:$F$35,MATCH(C55,Plafonds_dépenses_éligibles!$C$2:$C$35,0),5)),
IF(AB55="Par entreprise", MAX(INDEX(Plafonds_dépenses_éligibles!$B$2:$F$35,MATCH(C55,Plafonds_dépenses_éligibles!$C$2:$C$35,0),5)/2-SUMIFS(Z$43:Z54,C$43:C54,C55), 0),  INDEX(Plafonds_dépenses_éligibles!$B$2:$F$35,MATCH(C55,Plafonds_dépenses_éligibles!$C$2:$C$35,0),5)/2)))</f>
        <v>Veuillez indiquer si le matériel est neuf ou d'occasion</v>
      </c>
      <c r="AB55" s="27" t="str">
        <f>IF(F55="", "Veuillez indiquer si le matériel est neuf ou d'occasion", INDEX(Plafonds_dépenses_éligibles!$B$2:$F$35, MATCH(C55, Plafonds_dépenses_éligibles!$C$2:$C$35, 0), 4))</f>
        <v>Veuillez indiquer si le matériel est neuf ou d'occasion</v>
      </c>
      <c r="AC55" s="81" t="str">
        <f>IF(B55="", "NC",
IF(NOT(AN55="Categorie_1"),
IF(AV55= "TPE /PME", 'Matrices aides'!$D$9, 'Matrices aides'!$E$9)+30%*IF(AW55="Oui", 1, 0),
IF(AQ55="NC", "NC",
IF(AQ55="Non", 0,
INDEX('Matrices aides'!$B$25:$E$27, MATCH(AU55, 'Matrices aides'!$B$25:$B$27, 0), MATCH(AV55, 'Matrices aides'!$B$25:$E$25, 0))+30%*IF(AW55="Oui", 1, 0)))))</f>
        <v>NC</v>
      </c>
      <c r="AD55" s="81" t="str">
        <f t="shared" si="6"/>
        <v>NC</v>
      </c>
      <c r="AE55" s="28" t="str">
        <f t="shared" si="7"/>
        <v>Veuillez renseigner correctement les parties 1 à 2 et les cases bleues</v>
      </c>
      <c r="AF55" s="26" t="str">
        <f t="shared" si="8"/>
        <v/>
      </c>
      <c r="AG55" s="26" t="str">
        <f>IF(NOT(AN55="Categorie_1"),"",
IF(AK55="NC","NC",
IF(AR55="Oui","Faible impact",IF(AK55&gt;'Matrices aides'!$D$17,"Impact trop élevé","Impact modéré"))))</f>
        <v/>
      </c>
      <c r="AH55" s="26" t="str">
        <f t="shared" si="9"/>
        <v/>
      </c>
      <c r="AI55" s="37" t="str">
        <f>IF(NOT(AN55="Categorie_1"),"",
IF(AH55="NC","NC",
IF(AS55="Oui","Faible impact",IF(AL55&gt;'Matrices aides'!$D$21,"Impact trop élevé","Impact modéré"))))</f>
        <v/>
      </c>
      <c r="AK55" s="83" t="str">
        <f t="shared" si="10"/>
        <v>NC</v>
      </c>
      <c r="AL55" s="83" t="str">
        <f t="shared" si="11"/>
        <v>NC</v>
      </c>
      <c r="AM55" s="84" t="str">
        <f t="shared" si="12"/>
        <v>NC</v>
      </c>
      <c r="AN55" s="82" t="str">
        <f t="shared" si="2"/>
        <v>Categorie_</v>
      </c>
      <c r="AO55" s="82" t="str">
        <f t="shared" si="13"/>
        <v>Non</v>
      </c>
      <c r="AP55" s="82" t="str">
        <f t="shared" si="14"/>
        <v>Non</v>
      </c>
      <c r="AQ55" s="82" t="str">
        <f>IF(B55="", "NC",
IF(NOT(AN55="Categorie_1"), "Oui",
IF(AND(AK55="NC", Mes_investissements!AL55&lt;='Matrices aides'!$D$21), "Oui",
IF(AND(AK55&lt;='Matrices aides'!$D$17, Mes_investissements!AL55&lt;='Matrices aides'!$D$21), "Oui", "Non"))))</f>
        <v>NC</v>
      </c>
      <c r="AR55" s="82" t="str">
        <f>IF(AN55="Categorie_1",
IF(I55="Chenilles", "NC",
IF(AK55&lt; INDEX(Seuils_CaR_et_PSS!$C$17:$F$26, MATCH($C55, Seuils_CaR_et_PSS!$C$17:$C$26,0), 2),"Oui","Non")),
"NC")</f>
        <v>NC</v>
      </c>
      <c r="AS55" s="82" t="str">
        <f>IF(AN55="Categorie_1",
IF(AND($C$23="Oui",AL55&lt;='Matrices aides'!$D$85),"Oui",
IF(AND($C$23="Oui",AL55&gt;'Matrices aides'!$D$85),"Non",
IF(AL55&lt;INDEX(Seuils_CaR_et_PSS!$C$17:$F$26,MATCH($C55,Seuils_CaR_et_PSS!$C$17:$C$26,0),3),"Oui", "Non"))),
"NC")</f>
        <v>NC</v>
      </c>
      <c r="AT55" s="82" t="str">
        <f>IF(AN55="Categorie_1",
IF(AM55="NC","NC",IF(AM55&lt;'Matrices aides'!$D$23,"Non","Oui")),
"NC")</f>
        <v>NC</v>
      </c>
      <c r="AU55" s="82" t="str">
        <f>IF(AS55="Non","Réduit",IF(AT55="Non",
IF(AND(C55=Seuils_CaR_et_PSS!$C$15,AR55="Oui"),"Bonifié","Réduit"),
IF(AR55="Non",IF(AND(C55=Seuils_CaR_et_PSS!$C$15,AM55&gt;='Matrices aides'!$D$23),"Bonifié","Réduit"),"Bonifié")))</f>
        <v>Bonifié</v>
      </c>
      <c r="AV55" s="82">
        <f t="shared" si="15"/>
        <v>0</v>
      </c>
      <c r="AW55" s="82" t="e">
        <f t="shared" si="16"/>
        <v>#N/A</v>
      </c>
    </row>
    <row r="56" spans="1:51" ht="50.15" customHeight="1" x14ac:dyDescent="0.35">
      <c r="A56" s="22">
        <v>13</v>
      </c>
      <c r="B56" s="30"/>
      <c r="C56" s="30"/>
      <c r="D56" s="88" t="str">
        <f>IF(C56="", "",
IF((INDEX(Plafonds_dépenses_éligibles!$B$2:$F$35, MATCH(C56, Plafonds_dépenses_éligibles!$C$2:$C$35, 0), 3))="", "", INDEX(Plafonds_dépenses_éligibles!$B$2:$F$35, MATCH(C56, Plafonds_dépenses_éligibles!$C$2:$C$35, 0), 3)))</f>
        <v/>
      </c>
      <c r="E56" s="89"/>
      <c r="F56" s="31" t="str">
        <f t="shared" si="3"/>
        <v/>
      </c>
      <c r="G56" s="33"/>
      <c r="H56" s="86"/>
      <c r="I56" s="32"/>
      <c r="J56" s="34"/>
      <c r="K56" s="34"/>
      <c r="L56" s="32"/>
      <c r="M56" s="34"/>
      <c r="N56" s="35"/>
      <c r="O56" s="36"/>
      <c r="P56" s="32"/>
      <c r="Q56" s="34"/>
      <c r="R56" s="35"/>
      <c r="S56" s="36"/>
      <c r="T56" s="102"/>
      <c r="U56" s="105"/>
      <c r="V56" s="103"/>
      <c r="W56" s="104"/>
      <c r="X56" s="97" t="str">
        <f t="shared" si="4"/>
        <v/>
      </c>
      <c r="Y56" s="45"/>
      <c r="Z56" s="96" t="str">
        <f t="shared" si="5"/>
        <v/>
      </c>
      <c r="AA56" s="27" t="str">
        <f>IF(F56="", "Veuillez indiquer si le matériel est neuf ou d'occasion",
IF(F56="Neuf",
IF(AB56="Par entreprise",
MAX(INDEX(Plafonds_dépenses_éligibles!$B$2:$F$35,MATCH(C56,Plafonds_dépenses_éligibles!$C$2:$C$35,0),5)-SUMIFS(Z$43:Z55,C$43:C55,C56), 0),  INDEX(Plafonds_dépenses_éligibles!$B$2:$F$35,MATCH(C56,Plafonds_dépenses_éligibles!$C$2:$C$35,0),5)),
IF(AB56="Par entreprise", MAX(INDEX(Plafonds_dépenses_éligibles!$B$2:$F$35,MATCH(C56,Plafonds_dépenses_éligibles!$C$2:$C$35,0),5)/2-SUMIFS(Z$43:Z55,C$43:C55,C56), 0),  INDEX(Plafonds_dépenses_éligibles!$B$2:$F$35,MATCH(C56,Plafonds_dépenses_éligibles!$C$2:$C$35,0),5)/2)))</f>
        <v>Veuillez indiquer si le matériel est neuf ou d'occasion</v>
      </c>
      <c r="AB56" s="27" t="str">
        <f>IF(F56="", "Veuillez indiquer si le matériel est neuf ou d'occasion", INDEX(Plafonds_dépenses_éligibles!$B$2:$F$35, MATCH(C56, Plafonds_dépenses_éligibles!$C$2:$C$35, 0), 4))</f>
        <v>Veuillez indiquer si le matériel est neuf ou d'occasion</v>
      </c>
      <c r="AC56" s="81" t="str">
        <f>IF(B56="", "NC",
IF(NOT(AN56="Categorie_1"),
IF(AV56= "TPE /PME", 'Matrices aides'!$D$9, 'Matrices aides'!$E$9)+30%*IF(AW56="Oui", 1, 0),
IF(AQ56="NC", "NC",
IF(AQ56="Non", 0,
INDEX('Matrices aides'!$B$25:$E$27, MATCH(AU56, 'Matrices aides'!$B$25:$B$27, 0), MATCH(AV56, 'Matrices aides'!$B$25:$E$25, 0))+30%*IF(AW56="Oui", 1, 0)))))</f>
        <v>NC</v>
      </c>
      <c r="AD56" s="81" t="str">
        <f t="shared" si="6"/>
        <v>NC</v>
      </c>
      <c r="AE56" s="28" t="str">
        <f t="shared" si="7"/>
        <v>Veuillez renseigner correctement les parties 1 à 2 et les cases bleues</v>
      </c>
      <c r="AF56" s="26" t="str">
        <f t="shared" si="8"/>
        <v/>
      </c>
      <c r="AG56" s="26" t="str">
        <f>IF(NOT(AN56="Categorie_1"),"",
IF(AK56="NC","NC",
IF(AR56="Oui","Faible impact",IF(AK56&gt;'Matrices aides'!$D$17,"Impact trop élevé","Impact modéré"))))</f>
        <v/>
      </c>
      <c r="AH56" s="26" t="str">
        <f t="shared" si="9"/>
        <v/>
      </c>
      <c r="AI56" s="37" t="str">
        <f>IF(NOT(AN56="Categorie_1"),"",
IF(AH56="NC","NC",
IF(AS56="Oui","Faible impact",IF(AL56&gt;'Matrices aides'!$D$21,"Impact trop élevé","Impact modéré"))))</f>
        <v/>
      </c>
      <c r="AK56" s="83" t="str">
        <f t="shared" si="10"/>
        <v>NC</v>
      </c>
      <c r="AL56" s="83" t="str">
        <f t="shared" si="11"/>
        <v>NC</v>
      </c>
      <c r="AM56" s="84" t="str">
        <f t="shared" si="12"/>
        <v>NC</v>
      </c>
      <c r="AN56" s="82" t="str">
        <f t="shared" si="2"/>
        <v>Categorie_</v>
      </c>
      <c r="AO56" s="82" t="str">
        <f t="shared" si="13"/>
        <v>Non</v>
      </c>
      <c r="AP56" s="82" t="str">
        <f t="shared" si="14"/>
        <v>Non</v>
      </c>
      <c r="AQ56" s="82" t="str">
        <f>IF(B56="", "NC",
IF(NOT(AN56="Categorie_1"), "Oui",
IF(AND(AK56="NC", Mes_investissements!AL56&lt;='Matrices aides'!$D$21), "Oui",
IF(AND(AK56&lt;='Matrices aides'!$D$17, Mes_investissements!AL56&lt;='Matrices aides'!$D$21), "Oui", "Non"))))</f>
        <v>NC</v>
      </c>
      <c r="AR56" s="82" t="str">
        <f>IF(AN56="Categorie_1",
IF(I56="Chenilles", "NC",
IF(AK56&lt; INDEX(Seuils_CaR_et_PSS!$C$17:$F$26, MATCH($C56, Seuils_CaR_et_PSS!$C$17:$C$26,0), 2),"Oui","Non")),
"NC")</f>
        <v>NC</v>
      </c>
      <c r="AS56" s="82" t="str">
        <f>IF(AN56="Categorie_1",
IF(AND($C$23="Oui",AL56&lt;='Matrices aides'!$D$85),"Oui",
IF(AND($C$23="Oui",AL56&gt;'Matrices aides'!$D$85),"Non",
IF(AL56&lt;INDEX(Seuils_CaR_et_PSS!$C$17:$F$26,MATCH($C56,Seuils_CaR_et_PSS!$C$17:$C$26,0),3),"Oui", "Non"))),
"NC")</f>
        <v>NC</v>
      </c>
      <c r="AT56" s="82" t="str">
        <f>IF(AN56="Categorie_1",
IF(AM56="NC","NC",IF(AM56&lt;'Matrices aides'!$D$23,"Non","Oui")),
"NC")</f>
        <v>NC</v>
      </c>
      <c r="AU56" s="82" t="str">
        <f>IF(AS56="Non","Réduit",IF(AT56="Non",
IF(AND(C56=Seuils_CaR_et_PSS!$C$15,AR56="Oui"),"Bonifié","Réduit"),
IF(AR56="Non",IF(AND(C56=Seuils_CaR_et_PSS!$C$15,AM56&gt;='Matrices aides'!$D$23),"Bonifié","Réduit"),"Bonifié")))</f>
        <v>Bonifié</v>
      </c>
      <c r="AV56" s="82">
        <f t="shared" si="15"/>
        <v>0</v>
      </c>
      <c r="AW56" s="82" t="e">
        <f t="shared" si="16"/>
        <v>#N/A</v>
      </c>
    </row>
    <row r="57" spans="1:51" ht="50.15" customHeight="1" x14ac:dyDescent="0.35">
      <c r="A57" s="22">
        <v>14</v>
      </c>
      <c r="B57" s="30"/>
      <c r="C57" s="30"/>
      <c r="D57" s="88" t="str">
        <f>IF(C57="", "",
IF((INDEX(Plafonds_dépenses_éligibles!$B$2:$F$35, MATCH(C57, Plafonds_dépenses_éligibles!$C$2:$C$35, 0), 3))="", "", INDEX(Plafonds_dépenses_éligibles!$B$2:$F$35, MATCH(C57, Plafonds_dépenses_éligibles!$C$2:$C$35, 0), 3)))</f>
        <v/>
      </c>
      <c r="E57" s="89"/>
      <c r="F57" s="31" t="str">
        <f t="shared" si="3"/>
        <v/>
      </c>
      <c r="G57" s="33"/>
      <c r="H57" s="86"/>
      <c r="I57" s="32"/>
      <c r="J57" s="34"/>
      <c r="K57" s="34"/>
      <c r="L57" s="32"/>
      <c r="M57" s="34"/>
      <c r="N57" s="35"/>
      <c r="O57" s="36"/>
      <c r="P57" s="32"/>
      <c r="Q57" s="34"/>
      <c r="R57" s="35"/>
      <c r="S57" s="36"/>
      <c r="T57" s="102"/>
      <c r="U57" s="105"/>
      <c r="V57" s="103"/>
      <c r="W57" s="104"/>
      <c r="X57" s="97" t="str">
        <f t="shared" si="4"/>
        <v/>
      </c>
      <c r="Y57" s="45"/>
      <c r="Z57" s="96" t="str">
        <f t="shared" si="5"/>
        <v/>
      </c>
      <c r="AA57" s="27" t="str">
        <f>IF(F57="", "Veuillez indiquer si le matériel est neuf ou d'occasion",
IF(F57="Neuf",
IF(AB57="Par entreprise",
MAX(INDEX(Plafonds_dépenses_éligibles!$B$2:$F$35,MATCH(C57,Plafonds_dépenses_éligibles!$C$2:$C$35,0),5)-SUMIFS(Z$43:Z56,C$43:C56,C57), 0),  INDEX(Plafonds_dépenses_éligibles!$B$2:$F$35,MATCH(C57,Plafonds_dépenses_éligibles!$C$2:$C$35,0),5)),
IF(AB57="Par entreprise", MAX(INDEX(Plafonds_dépenses_éligibles!$B$2:$F$35,MATCH(C57,Plafonds_dépenses_éligibles!$C$2:$C$35,0),5)/2-SUMIFS(Z$43:Z56,C$43:C56,C57), 0),  INDEX(Plafonds_dépenses_éligibles!$B$2:$F$35,MATCH(C57,Plafonds_dépenses_éligibles!$C$2:$C$35,0),5)/2)))</f>
        <v>Veuillez indiquer si le matériel est neuf ou d'occasion</v>
      </c>
      <c r="AB57" s="27" t="str">
        <f>IF(F57="", "Veuillez indiquer si le matériel est neuf ou d'occasion", INDEX(Plafonds_dépenses_éligibles!$B$2:$F$35, MATCH(C57, Plafonds_dépenses_éligibles!$C$2:$C$35, 0), 4))</f>
        <v>Veuillez indiquer si le matériel est neuf ou d'occasion</v>
      </c>
      <c r="AC57" s="81" t="str">
        <f>IF(B57="", "NC",
IF(NOT(AN57="Categorie_1"),
IF(AV57= "TPE /PME", 'Matrices aides'!$D$9, 'Matrices aides'!$E$9)+30%*IF(AW57="Oui", 1, 0),
IF(AQ57="NC", "NC",
IF(AQ57="Non", 0,
INDEX('Matrices aides'!$B$25:$E$27, MATCH(AU57, 'Matrices aides'!$B$25:$B$27, 0), MATCH(AV57, 'Matrices aides'!$B$25:$E$25, 0))+30%*IF(AW57="Oui", 1, 0)))))</f>
        <v>NC</v>
      </c>
      <c r="AD57" s="81" t="str">
        <f t="shared" si="6"/>
        <v>NC</v>
      </c>
      <c r="AE57" s="28" t="str">
        <f t="shared" si="7"/>
        <v>Veuillez renseigner correctement les parties 1 à 2 et les cases bleues</v>
      </c>
      <c r="AF57" s="26" t="str">
        <f t="shared" si="8"/>
        <v/>
      </c>
      <c r="AG57" s="26" t="str">
        <f>IF(NOT(AN57="Categorie_1"),"",
IF(AK57="NC","NC",
IF(AR57="Oui","Faible impact",IF(AK57&gt;'Matrices aides'!$D$17,"Impact trop élevé","Impact modéré"))))</f>
        <v/>
      </c>
      <c r="AH57" s="26" t="str">
        <f t="shared" si="9"/>
        <v/>
      </c>
      <c r="AI57" s="37" t="str">
        <f>IF(NOT(AN57="Categorie_1"),"",
IF(AH57="NC","NC",
IF(AS57="Oui","Faible impact",IF(AL57&gt;'Matrices aides'!$D$21,"Impact trop élevé","Impact modéré"))))</f>
        <v/>
      </c>
      <c r="AK57" s="83" t="str">
        <f t="shared" si="10"/>
        <v>NC</v>
      </c>
      <c r="AL57" s="83" t="str">
        <f t="shared" si="11"/>
        <v>NC</v>
      </c>
      <c r="AM57" s="84" t="str">
        <f t="shared" si="12"/>
        <v>NC</v>
      </c>
      <c r="AN57" s="82" t="str">
        <f t="shared" si="2"/>
        <v>Categorie_</v>
      </c>
      <c r="AO57" s="82" t="str">
        <f t="shared" si="13"/>
        <v>Non</v>
      </c>
      <c r="AP57" s="82" t="str">
        <f t="shared" si="14"/>
        <v>Non</v>
      </c>
      <c r="AQ57" s="82" t="str">
        <f>IF(B57="", "NC",
IF(NOT(AN57="Categorie_1"), "Oui",
IF(AND(AK57="NC", Mes_investissements!AL57&lt;='Matrices aides'!$D$21), "Oui",
IF(AND(AK57&lt;='Matrices aides'!$D$17, Mes_investissements!AL57&lt;='Matrices aides'!$D$21), "Oui", "Non"))))</f>
        <v>NC</v>
      </c>
      <c r="AR57" s="82" t="str">
        <f>IF(AN57="Categorie_1",
IF(I57="Chenilles", "NC",
IF(AK57&lt; INDEX(Seuils_CaR_et_PSS!$C$17:$F$26, MATCH($C57, Seuils_CaR_et_PSS!$C$17:$C$26,0), 2),"Oui","Non")),
"NC")</f>
        <v>NC</v>
      </c>
      <c r="AS57" s="82" t="str">
        <f>IF(AN57="Categorie_1",
IF(AND($C$23="Oui",AL57&lt;='Matrices aides'!$D$85),"Oui",
IF(AND($C$23="Oui",AL57&gt;'Matrices aides'!$D$85),"Non",
IF(AL57&lt;INDEX(Seuils_CaR_et_PSS!$C$17:$F$26,MATCH($C57,Seuils_CaR_et_PSS!$C$17:$C$26,0),3),"Oui", "Non"))),
"NC")</f>
        <v>NC</v>
      </c>
      <c r="AT57" s="82" t="str">
        <f>IF(AN57="Categorie_1",
IF(AM57="NC","NC",IF(AM57&lt;'Matrices aides'!$D$23,"Non","Oui")),
"NC")</f>
        <v>NC</v>
      </c>
      <c r="AU57" s="82" t="str">
        <f>IF(AS57="Non","Réduit",IF(AT57="Non",
IF(AND(C57=Seuils_CaR_et_PSS!$C$15,AR57="Oui"),"Bonifié","Réduit"),
IF(AR57="Non",IF(AND(C57=Seuils_CaR_et_PSS!$C$15,AM57&gt;='Matrices aides'!$D$23),"Bonifié","Réduit"),"Bonifié")))</f>
        <v>Bonifié</v>
      </c>
      <c r="AV57" s="82">
        <f t="shared" si="15"/>
        <v>0</v>
      </c>
      <c r="AW57" s="82" t="e">
        <f t="shared" si="16"/>
        <v>#N/A</v>
      </c>
    </row>
    <row r="58" spans="1:51" ht="50.15" customHeight="1" x14ac:dyDescent="0.35">
      <c r="A58" s="22">
        <v>15</v>
      </c>
      <c r="B58" s="30"/>
      <c r="C58" s="30"/>
      <c r="D58" s="88" t="str">
        <f>IF(C58="", "",
IF((INDEX(Plafonds_dépenses_éligibles!$B$2:$F$35, MATCH(C58, Plafonds_dépenses_éligibles!$C$2:$C$35, 0), 3))="", "", INDEX(Plafonds_dépenses_éligibles!$B$2:$F$35, MATCH(C58, Plafonds_dépenses_éligibles!$C$2:$C$35, 0), 3)))</f>
        <v/>
      </c>
      <c r="E58" s="89"/>
      <c r="F58" s="31" t="str">
        <f t="shared" si="3"/>
        <v/>
      </c>
      <c r="G58" s="33"/>
      <c r="H58" s="86"/>
      <c r="I58" s="32"/>
      <c r="J58" s="34"/>
      <c r="K58" s="34"/>
      <c r="L58" s="32"/>
      <c r="M58" s="34"/>
      <c r="N58" s="35"/>
      <c r="O58" s="36"/>
      <c r="P58" s="32"/>
      <c r="Q58" s="34"/>
      <c r="R58" s="35"/>
      <c r="S58" s="36"/>
      <c r="T58" s="102"/>
      <c r="U58" s="105"/>
      <c r="V58" s="103"/>
      <c r="W58" s="104"/>
      <c r="X58" s="97" t="str">
        <f t="shared" si="4"/>
        <v/>
      </c>
      <c r="Y58" s="45"/>
      <c r="Z58" s="96" t="str">
        <f t="shared" si="5"/>
        <v/>
      </c>
      <c r="AA58" s="27" t="str">
        <f>IF(F58="", "Veuillez indiquer si le matériel est neuf ou d'occasion",
IF(F58="Neuf",
IF(AB58="Par entreprise",
MAX(INDEX(Plafonds_dépenses_éligibles!$B$2:$F$35,MATCH(C58,Plafonds_dépenses_éligibles!$C$2:$C$35,0),5)-SUMIFS(Z$43:Z57,C$43:C57,C58), 0),  INDEX(Plafonds_dépenses_éligibles!$B$2:$F$35,MATCH(C58,Plafonds_dépenses_éligibles!$C$2:$C$35,0),5)),
IF(AB58="Par entreprise", MAX(INDEX(Plafonds_dépenses_éligibles!$B$2:$F$35,MATCH(C58,Plafonds_dépenses_éligibles!$C$2:$C$35,0),5)/2-SUMIFS(Z$43:Z57,C$43:C57,C58), 0),  INDEX(Plafonds_dépenses_éligibles!$B$2:$F$35,MATCH(C58,Plafonds_dépenses_éligibles!$C$2:$C$35,0),5)/2)))</f>
        <v>Veuillez indiquer si le matériel est neuf ou d'occasion</v>
      </c>
      <c r="AB58" s="27" t="str">
        <f>IF(F58="", "Veuillez indiquer si le matériel est neuf ou d'occasion", INDEX(Plafonds_dépenses_éligibles!$B$2:$F$35, MATCH(C58, Plafonds_dépenses_éligibles!$C$2:$C$35, 0), 4))</f>
        <v>Veuillez indiquer si le matériel est neuf ou d'occasion</v>
      </c>
      <c r="AC58" s="81" t="str">
        <f>IF(B58="", "NC",
IF(NOT(AN58="Categorie_1"),
IF(AV58= "TPE /PME", 'Matrices aides'!$D$9, 'Matrices aides'!$E$9)+30%*IF(AW58="Oui", 1, 0),
IF(AQ58="NC", "NC",
IF(AQ58="Non", 0,
INDEX('Matrices aides'!$B$25:$E$27, MATCH(AU58, 'Matrices aides'!$B$25:$B$27, 0), MATCH(AV58, 'Matrices aides'!$B$25:$E$25, 0))+30%*IF(AW58="Oui", 1, 0)))))</f>
        <v>NC</v>
      </c>
      <c r="AD58" s="81" t="str">
        <f t="shared" si="6"/>
        <v>NC</v>
      </c>
      <c r="AE58" s="28" t="str">
        <f t="shared" si="7"/>
        <v>Veuillez renseigner correctement les parties 1 à 2 et les cases bleues</v>
      </c>
      <c r="AF58" s="26" t="str">
        <f t="shared" si="8"/>
        <v/>
      </c>
      <c r="AG58" s="26" t="str">
        <f>IF(NOT(AN58="Categorie_1"),"",
IF(AK58="NC","NC",
IF(AR58="Oui","Faible impact",IF(AK58&gt;'Matrices aides'!$D$17,"Impact trop élevé","Impact modéré"))))</f>
        <v/>
      </c>
      <c r="AH58" s="26" t="str">
        <f t="shared" si="9"/>
        <v/>
      </c>
      <c r="AI58" s="37" t="str">
        <f>IF(NOT(AN58="Categorie_1"),"",
IF(AH58="NC","NC",
IF(AS58="Oui","Faible impact",IF(AL58&gt;'Matrices aides'!$D$21,"Impact trop élevé","Impact modéré"))))</f>
        <v/>
      </c>
      <c r="AK58" s="83" t="str">
        <f t="shared" si="10"/>
        <v>NC</v>
      </c>
      <c r="AL58" s="83" t="str">
        <f t="shared" si="11"/>
        <v>NC</v>
      </c>
      <c r="AM58" s="84" t="str">
        <f t="shared" si="12"/>
        <v>NC</v>
      </c>
      <c r="AN58" s="82" t="str">
        <f t="shared" si="2"/>
        <v>Categorie_</v>
      </c>
      <c r="AO58" s="82" t="str">
        <f t="shared" si="13"/>
        <v>Non</v>
      </c>
      <c r="AP58" s="82" t="str">
        <f t="shared" si="14"/>
        <v>Non</v>
      </c>
      <c r="AQ58" s="82" t="str">
        <f>IF(B58="", "NC",
IF(NOT(AN58="Categorie_1"), "Oui",
IF(AND(AK58="NC", Mes_investissements!AL58&lt;='Matrices aides'!$D$21), "Oui",
IF(AND(AK58&lt;='Matrices aides'!$D$17, Mes_investissements!AL58&lt;='Matrices aides'!$D$21), "Oui", "Non"))))</f>
        <v>NC</v>
      </c>
      <c r="AR58" s="82" t="str">
        <f>IF(AN58="Categorie_1",
IF(I58="Chenilles", "NC",
IF(AK58&lt; INDEX(Seuils_CaR_et_PSS!$C$17:$F$26, MATCH($C58, Seuils_CaR_et_PSS!$C$17:$C$26,0), 2),"Oui","Non")),
"NC")</f>
        <v>NC</v>
      </c>
      <c r="AS58" s="82" t="str">
        <f>IF(AN58="Categorie_1",
IF(AND($C$23="Oui",AL58&lt;='Matrices aides'!$D$85),"Oui",
IF(AND($C$23="Oui",AL58&gt;'Matrices aides'!$D$85),"Non",
IF(AL58&lt;INDEX(Seuils_CaR_et_PSS!$C$17:$F$26,MATCH($C58,Seuils_CaR_et_PSS!$C$17:$C$26,0),3),"Oui", "Non"))),
"NC")</f>
        <v>NC</v>
      </c>
      <c r="AT58" s="82" t="str">
        <f>IF(AN58="Categorie_1",
IF(AM58="NC","NC",IF(AM58&lt;'Matrices aides'!$D$23,"Non","Oui")),
"NC")</f>
        <v>NC</v>
      </c>
      <c r="AU58" s="82" t="str">
        <f>IF(AS58="Non","Réduit",IF(AT58="Non",
IF(AND(C58=Seuils_CaR_et_PSS!$C$15,AR58="Oui"),"Bonifié","Réduit"),
IF(AR58="Non",IF(AND(C58=Seuils_CaR_et_PSS!$C$15,AM58&gt;='Matrices aides'!$D$23),"Bonifié","Réduit"),"Bonifié")))</f>
        <v>Bonifié</v>
      </c>
      <c r="AV58" s="82">
        <f t="shared" si="15"/>
        <v>0</v>
      </c>
      <c r="AW58" s="82" t="e">
        <f t="shared" si="16"/>
        <v>#N/A</v>
      </c>
    </row>
    <row r="59" spans="1:51" ht="50.15" customHeight="1" x14ac:dyDescent="0.35">
      <c r="A59" s="22">
        <v>16</v>
      </c>
      <c r="B59" s="30"/>
      <c r="C59" s="30"/>
      <c r="D59" s="88" t="str">
        <f>IF(C59="", "",
IF((INDEX(Plafonds_dépenses_éligibles!$B$2:$F$35, MATCH(C59, Plafonds_dépenses_éligibles!$C$2:$C$35, 0), 3))="", "", INDEX(Plafonds_dépenses_éligibles!$B$2:$F$35, MATCH(C59, Plafonds_dépenses_éligibles!$C$2:$C$35, 0), 3)))</f>
        <v/>
      </c>
      <c r="E59" s="89"/>
      <c r="F59" s="31" t="str">
        <f t="shared" si="3"/>
        <v/>
      </c>
      <c r="G59" s="33"/>
      <c r="H59" s="86"/>
      <c r="I59" s="32"/>
      <c r="J59" s="34"/>
      <c r="K59" s="34"/>
      <c r="L59" s="32"/>
      <c r="M59" s="34"/>
      <c r="N59" s="35"/>
      <c r="O59" s="36"/>
      <c r="P59" s="32"/>
      <c r="Q59" s="34"/>
      <c r="R59" s="35"/>
      <c r="S59" s="36"/>
      <c r="T59" s="102"/>
      <c r="U59" s="105"/>
      <c r="V59" s="103"/>
      <c r="W59" s="104"/>
      <c r="X59" s="97" t="str">
        <f t="shared" si="4"/>
        <v/>
      </c>
      <c r="Y59" s="45"/>
      <c r="Z59" s="96" t="str">
        <f t="shared" si="5"/>
        <v/>
      </c>
      <c r="AA59" s="27" t="str">
        <f>IF(F59="", "Veuillez indiquer si le matériel est neuf ou d'occasion",
IF(F59="Neuf",
IF(AB59="Par entreprise",
MAX(INDEX(Plafonds_dépenses_éligibles!$B$2:$F$35,MATCH(C59,Plafonds_dépenses_éligibles!$C$2:$C$35,0),5)-SUMIFS(Z$43:Z58,C$43:C58,C59), 0),  INDEX(Plafonds_dépenses_éligibles!$B$2:$F$35,MATCH(C59,Plafonds_dépenses_éligibles!$C$2:$C$35,0),5)),
IF(AB59="Par entreprise", MAX(INDEX(Plafonds_dépenses_éligibles!$B$2:$F$35,MATCH(C59,Plafonds_dépenses_éligibles!$C$2:$C$35,0),5)/2-SUMIFS(Z$43:Z58,C$43:C58,C59), 0),  INDEX(Plafonds_dépenses_éligibles!$B$2:$F$35,MATCH(C59,Plafonds_dépenses_éligibles!$C$2:$C$35,0),5)/2)))</f>
        <v>Veuillez indiquer si le matériel est neuf ou d'occasion</v>
      </c>
      <c r="AB59" s="27" t="str">
        <f>IF(F59="", "Veuillez indiquer si le matériel est neuf ou d'occasion", INDEX(Plafonds_dépenses_éligibles!$B$2:$F$35, MATCH(C59, Plafonds_dépenses_éligibles!$C$2:$C$35, 0), 4))</f>
        <v>Veuillez indiquer si le matériel est neuf ou d'occasion</v>
      </c>
      <c r="AC59" s="81" t="str">
        <f>IF(B59="", "NC",
IF(NOT(AN59="Categorie_1"),
IF(AV59= "TPE /PME", 'Matrices aides'!$D$9, 'Matrices aides'!$E$9)+30%*IF(AW59="Oui", 1, 0),
IF(AQ59="NC", "NC",
IF(AQ59="Non", 0,
INDEX('Matrices aides'!$B$25:$E$27, MATCH(AU59, 'Matrices aides'!$B$25:$B$27, 0), MATCH(AV59, 'Matrices aides'!$B$25:$E$25, 0))+30%*IF(AW59="Oui", 1, 0)))))</f>
        <v>NC</v>
      </c>
      <c r="AD59" s="81" t="str">
        <f t="shared" si="6"/>
        <v>NC</v>
      </c>
      <c r="AE59" s="28" t="str">
        <f t="shared" si="7"/>
        <v>Veuillez renseigner correctement les parties 1 à 2 et les cases bleues</v>
      </c>
      <c r="AF59" s="26" t="str">
        <f t="shared" si="8"/>
        <v/>
      </c>
      <c r="AG59" s="26" t="str">
        <f>IF(NOT(AN59="Categorie_1"),"",
IF(AK59="NC","NC",
IF(AR59="Oui","Faible impact",IF(AK59&gt;'Matrices aides'!$D$17,"Impact trop élevé","Impact modéré"))))</f>
        <v/>
      </c>
      <c r="AH59" s="26" t="str">
        <f t="shared" si="9"/>
        <v/>
      </c>
      <c r="AI59" s="37" t="str">
        <f>IF(NOT(AN59="Categorie_1"),"",
IF(AH59="NC","NC",
IF(AS59="Oui","Faible impact",IF(AL59&gt;'Matrices aides'!$D$21,"Impact trop élevé","Impact modéré"))))</f>
        <v/>
      </c>
      <c r="AK59" s="83" t="str">
        <f t="shared" si="10"/>
        <v>NC</v>
      </c>
      <c r="AL59" s="83" t="str">
        <f t="shared" si="11"/>
        <v>NC</v>
      </c>
      <c r="AM59" s="84" t="str">
        <f t="shared" si="12"/>
        <v>NC</v>
      </c>
      <c r="AN59" s="82" t="str">
        <f t="shared" si="2"/>
        <v>Categorie_</v>
      </c>
      <c r="AO59" s="82" t="str">
        <f t="shared" si="13"/>
        <v>Non</v>
      </c>
      <c r="AP59" s="82" t="str">
        <f t="shared" si="14"/>
        <v>Non</v>
      </c>
      <c r="AQ59" s="82" t="str">
        <f>IF(B59="", "NC",
IF(NOT(AN59="Categorie_1"), "Oui",
IF(AND(AK59="NC", Mes_investissements!AL59&lt;='Matrices aides'!$D$21), "Oui",
IF(AND(AK59&lt;='Matrices aides'!$D$17, Mes_investissements!AL59&lt;='Matrices aides'!$D$21), "Oui", "Non"))))</f>
        <v>NC</v>
      </c>
      <c r="AR59" s="82" t="str">
        <f>IF(AN59="Categorie_1",
IF(I59="Chenilles", "NC",
IF(AK59&lt; INDEX(Seuils_CaR_et_PSS!$C$17:$F$26, MATCH($C59, Seuils_CaR_et_PSS!$C$17:$C$26,0), 2),"Oui","Non")),
"NC")</f>
        <v>NC</v>
      </c>
      <c r="AS59" s="82" t="str">
        <f>IF(AN59="Categorie_1",
IF(AND($C$23="Oui",AL59&lt;='Matrices aides'!$D$85),"Oui",
IF(AND($C$23="Oui",AL59&gt;'Matrices aides'!$D$85),"Non",
IF(AL59&lt;INDEX(Seuils_CaR_et_PSS!$C$17:$F$26,MATCH($C59,Seuils_CaR_et_PSS!$C$17:$C$26,0),3),"Oui", "Non"))),
"NC")</f>
        <v>NC</v>
      </c>
      <c r="AT59" s="82" t="str">
        <f>IF(AN59="Categorie_1",
IF(AM59="NC","NC",IF(AM59&lt;'Matrices aides'!$D$23,"Non","Oui")),
"NC")</f>
        <v>NC</v>
      </c>
      <c r="AU59" s="82" t="str">
        <f>IF(AS59="Non","Réduit",IF(AT59="Non",
IF(AND(C59=Seuils_CaR_et_PSS!$C$15,AR59="Oui"),"Bonifié","Réduit"),
IF(AR59="Non",IF(AND(C59=Seuils_CaR_et_PSS!$C$15,AM59&gt;='Matrices aides'!$D$23),"Bonifié","Réduit"),"Bonifié")))</f>
        <v>Bonifié</v>
      </c>
      <c r="AV59" s="82">
        <f t="shared" si="15"/>
        <v>0</v>
      </c>
      <c r="AW59" s="82" t="e">
        <f t="shared" si="16"/>
        <v>#N/A</v>
      </c>
    </row>
    <row r="60" spans="1:51" ht="50.15" customHeight="1" x14ac:dyDescent="0.35">
      <c r="A60" s="22">
        <v>17</v>
      </c>
      <c r="B60" s="30"/>
      <c r="C60" s="30"/>
      <c r="D60" s="88" t="str">
        <f>IF(C60="", "",
IF((INDEX(Plafonds_dépenses_éligibles!$B$2:$F$35, MATCH(C60, Plafonds_dépenses_éligibles!$C$2:$C$35, 0), 3))="", "", INDEX(Plafonds_dépenses_éligibles!$B$2:$F$35, MATCH(C60, Plafonds_dépenses_éligibles!$C$2:$C$35, 0), 3)))</f>
        <v/>
      </c>
      <c r="E60" s="89"/>
      <c r="F60" s="31" t="str">
        <f t="shared" si="3"/>
        <v/>
      </c>
      <c r="G60" s="33"/>
      <c r="H60" s="86"/>
      <c r="I60" s="32"/>
      <c r="J60" s="34"/>
      <c r="K60" s="34"/>
      <c r="L60" s="32"/>
      <c r="M60" s="34"/>
      <c r="N60" s="35"/>
      <c r="O60" s="36"/>
      <c r="P60" s="32"/>
      <c r="Q60" s="34"/>
      <c r="R60" s="35"/>
      <c r="S60" s="36"/>
      <c r="T60" s="102"/>
      <c r="U60" s="105"/>
      <c r="V60" s="103"/>
      <c r="W60" s="104"/>
      <c r="X60" s="97" t="str">
        <f t="shared" si="4"/>
        <v/>
      </c>
      <c r="Y60" s="45"/>
      <c r="Z60" s="96" t="str">
        <f t="shared" si="5"/>
        <v/>
      </c>
      <c r="AA60" s="27" t="str">
        <f>IF(F60="", "Veuillez indiquer si le matériel est neuf ou d'occasion",
IF(F60="Neuf",
IF(AB60="Par entreprise",
MAX(INDEX(Plafonds_dépenses_éligibles!$B$2:$F$35,MATCH(C60,Plafonds_dépenses_éligibles!$C$2:$C$35,0),5)-SUMIFS(Z$43:Z59,C$43:C59,C60), 0),  INDEX(Plafonds_dépenses_éligibles!$B$2:$F$35,MATCH(C60,Plafonds_dépenses_éligibles!$C$2:$C$35,0),5)),
IF(AB60="Par entreprise", MAX(INDEX(Plafonds_dépenses_éligibles!$B$2:$F$35,MATCH(C60,Plafonds_dépenses_éligibles!$C$2:$C$35,0),5)/2-SUMIFS(Z$43:Z59,C$43:C59,C60), 0),  INDEX(Plafonds_dépenses_éligibles!$B$2:$F$35,MATCH(C60,Plafonds_dépenses_éligibles!$C$2:$C$35,0),5)/2)))</f>
        <v>Veuillez indiquer si le matériel est neuf ou d'occasion</v>
      </c>
      <c r="AB60" s="27" t="str">
        <f>IF(F60="", "Veuillez indiquer si le matériel est neuf ou d'occasion", INDEX(Plafonds_dépenses_éligibles!$B$2:$F$35, MATCH(C60, Plafonds_dépenses_éligibles!$C$2:$C$35, 0), 4))</f>
        <v>Veuillez indiquer si le matériel est neuf ou d'occasion</v>
      </c>
      <c r="AC60" s="81" t="str">
        <f>IF(B60="", "NC",
IF(NOT(AN60="Categorie_1"),
IF(AV60= "TPE /PME", 'Matrices aides'!$D$9, 'Matrices aides'!$E$9)+30%*IF(AW60="Oui", 1, 0),
IF(AQ60="NC", "NC",
IF(AQ60="Non", 0,
INDEX('Matrices aides'!$B$25:$E$27, MATCH(AU60, 'Matrices aides'!$B$25:$B$27, 0), MATCH(AV60, 'Matrices aides'!$B$25:$E$25, 0))+30%*IF(AW60="Oui", 1, 0)))))</f>
        <v>NC</v>
      </c>
      <c r="AD60" s="81" t="str">
        <f t="shared" si="6"/>
        <v>NC</v>
      </c>
      <c r="AE60" s="28" t="str">
        <f t="shared" si="7"/>
        <v>Veuillez renseigner correctement les parties 1 à 2 et les cases bleues</v>
      </c>
      <c r="AF60" s="26" t="str">
        <f t="shared" si="8"/>
        <v/>
      </c>
      <c r="AG60" s="26" t="str">
        <f>IF(NOT(AN60="Categorie_1"),"",
IF(AK60="NC","NC",
IF(AR60="Oui","Faible impact",IF(AK60&gt;'Matrices aides'!$D$17,"Impact trop élevé","Impact modéré"))))</f>
        <v/>
      </c>
      <c r="AH60" s="26" t="str">
        <f t="shared" si="9"/>
        <v/>
      </c>
      <c r="AI60" s="37" t="str">
        <f>IF(NOT(AN60="Categorie_1"),"",
IF(AH60="NC","NC",
IF(AS60="Oui","Faible impact",IF(AL60&gt;'Matrices aides'!$D$21,"Impact trop élevé","Impact modéré"))))</f>
        <v/>
      </c>
      <c r="AK60" s="83" t="str">
        <f t="shared" si="10"/>
        <v>NC</v>
      </c>
      <c r="AL60" s="83" t="str">
        <f t="shared" si="11"/>
        <v>NC</v>
      </c>
      <c r="AM60" s="84" t="str">
        <f t="shared" si="12"/>
        <v>NC</v>
      </c>
      <c r="AN60" s="82" t="str">
        <f t="shared" si="2"/>
        <v>Categorie_</v>
      </c>
      <c r="AO60" s="82" t="str">
        <f t="shared" si="13"/>
        <v>Non</v>
      </c>
      <c r="AP60" s="82" t="str">
        <f t="shared" si="14"/>
        <v>Non</v>
      </c>
      <c r="AQ60" s="82" t="str">
        <f>IF(B60="", "NC",
IF(NOT(AN60="Categorie_1"), "Oui",
IF(AND(AK60="NC", Mes_investissements!AL60&lt;='Matrices aides'!$D$21), "Oui",
IF(AND(AK60&lt;='Matrices aides'!$D$17, Mes_investissements!AL60&lt;='Matrices aides'!$D$21), "Oui", "Non"))))</f>
        <v>NC</v>
      </c>
      <c r="AR60" s="82" t="str">
        <f>IF(AN60="Categorie_1",
IF(I60="Chenilles", "NC",
IF(AK60&lt; INDEX(Seuils_CaR_et_PSS!$C$17:$F$26, MATCH($C60, Seuils_CaR_et_PSS!$C$17:$C$26,0), 2),"Oui","Non")),
"NC")</f>
        <v>NC</v>
      </c>
      <c r="AS60" s="82" t="str">
        <f>IF(AN60="Categorie_1",
IF(AND($C$23="Oui",AL60&lt;='Matrices aides'!$D$85),"Oui",
IF(AND($C$23="Oui",AL60&gt;'Matrices aides'!$D$85),"Non",
IF(AL60&lt;INDEX(Seuils_CaR_et_PSS!$C$17:$F$26,MATCH($C60,Seuils_CaR_et_PSS!$C$17:$C$26,0),3),"Oui", "Non"))),
"NC")</f>
        <v>NC</v>
      </c>
      <c r="AT60" s="82" t="str">
        <f>IF(AN60="Categorie_1",
IF(AM60="NC","NC",IF(AM60&lt;'Matrices aides'!$D$23,"Non","Oui")),
"NC")</f>
        <v>NC</v>
      </c>
      <c r="AU60" s="82" t="str">
        <f>IF(AS60="Non","Réduit",IF(AT60="Non",
IF(AND(C60=Seuils_CaR_et_PSS!$C$15,AR60="Oui"),"Bonifié","Réduit"),
IF(AR60="Non",IF(AND(C60=Seuils_CaR_et_PSS!$C$15,AM60&gt;='Matrices aides'!$D$23),"Bonifié","Réduit"),"Bonifié")))</f>
        <v>Bonifié</v>
      </c>
      <c r="AV60" s="82">
        <f t="shared" si="15"/>
        <v>0</v>
      </c>
      <c r="AW60" s="82" t="e">
        <f t="shared" si="16"/>
        <v>#N/A</v>
      </c>
    </row>
    <row r="61" spans="1:51" ht="50.15" customHeight="1" x14ac:dyDescent="0.35">
      <c r="A61" s="22">
        <v>18</v>
      </c>
      <c r="B61" s="30"/>
      <c r="C61" s="30"/>
      <c r="D61" s="88" t="str">
        <f>IF(C61="", "",
IF((INDEX(Plafonds_dépenses_éligibles!$B$2:$F$35, MATCH(C61, Plafonds_dépenses_éligibles!$C$2:$C$35, 0), 3))="", "", INDEX(Plafonds_dépenses_éligibles!$B$2:$F$35, MATCH(C61, Plafonds_dépenses_éligibles!$C$2:$C$35, 0), 3)))</f>
        <v/>
      </c>
      <c r="E61" s="89"/>
      <c r="F61" s="31" t="str">
        <f t="shared" si="3"/>
        <v/>
      </c>
      <c r="G61" s="33"/>
      <c r="H61" s="86"/>
      <c r="I61" s="32"/>
      <c r="J61" s="34"/>
      <c r="K61" s="34"/>
      <c r="L61" s="32"/>
      <c r="M61" s="34"/>
      <c r="N61" s="35"/>
      <c r="O61" s="36"/>
      <c r="P61" s="32"/>
      <c r="Q61" s="34"/>
      <c r="R61" s="35"/>
      <c r="S61" s="36"/>
      <c r="T61" s="102"/>
      <c r="U61" s="105"/>
      <c r="V61" s="103"/>
      <c r="W61" s="104"/>
      <c r="X61" s="97" t="str">
        <f t="shared" si="4"/>
        <v/>
      </c>
      <c r="Y61" s="45"/>
      <c r="Z61" s="96" t="str">
        <f t="shared" si="5"/>
        <v/>
      </c>
      <c r="AA61" s="27" t="str">
        <f>IF(F61="", "Veuillez indiquer si le matériel est neuf ou d'occasion",
IF(F61="Neuf",
IF(AB61="Par entreprise",
MAX(INDEX(Plafonds_dépenses_éligibles!$B$2:$F$35,MATCH(C61,Plafonds_dépenses_éligibles!$C$2:$C$35,0),5)-SUMIFS(Z$43:Z60,C$43:C60,C61), 0),  INDEX(Plafonds_dépenses_éligibles!$B$2:$F$35,MATCH(C61,Plafonds_dépenses_éligibles!$C$2:$C$35,0),5)),
IF(AB61="Par entreprise", MAX(INDEX(Plafonds_dépenses_éligibles!$B$2:$F$35,MATCH(C61,Plafonds_dépenses_éligibles!$C$2:$C$35,0),5)/2-SUMIFS(Z$43:Z60,C$43:C60,C61), 0),  INDEX(Plafonds_dépenses_éligibles!$B$2:$F$35,MATCH(C61,Plafonds_dépenses_éligibles!$C$2:$C$35,0),5)/2)))</f>
        <v>Veuillez indiquer si le matériel est neuf ou d'occasion</v>
      </c>
      <c r="AB61" s="27" t="str">
        <f>IF(F61="", "Veuillez indiquer si le matériel est neuf ou d'occasion", INDEX(Plafonds_dépenses_éligibles!$B$2:$F$35, MATCH(C61, Plafonds_dépenses_éligibles!$C$2:$C$35, 0), 4))</f>
        <v>Veuillez indiquer si le matériel est neuf ou d'occasion</v>
      </c>
      <c r="AC61" s="81" t="str">
        <f>IF(B61="", "NC",
IF(NOT(AN61="Categorie_1"),
IF(AV61= "TPE /PME", 'Matrices aides'!$D$9, 'Matrices aides'!$E$9)+30%*IF(AW61="Oui", 1, 0),
IF(AQ61="NC", "NC",
IF(AQ61="Non", 0,
INDEX('Matrices aides'!$B$25:$E$27, MATCH(AU61, 'Matrices aides'!$B$25:$B$27, 0), MATCH(AV61, 'Matrices aides'!$B$25:$E$25, 0))+30%*IF(AW61="Oui", 1, 0)))))</f>
        <v>NC</v>
      </c>
      <c r="AD61" s="81" t="str">
        <f t="shared" si="6"/>
        <v>NC</v>
      </c>
      <c r="AE61" s="28" t="str">
        <f t="shared" si="7"/>
        <v>Veuillez renseigner correctement les parties 1 à 2 et les cases bleues</v>
      </c>
      <c r="AF61" s="26" t="str">
        <f t="shared" si="8"/>
        <v/>
      </c>
      <c r="AG61" s="26" t="str">
        <f>IF(NOT(AN61="Categorie_1"),"",
IF(AK61="NC","NC",
IF(AR61="Oui","Faible impact",IF(AK61&gt;'Matrices aides'!$D$17,"Impact trop élevé","Impact modéré"))))</f>
        <v/>
      </c>
      <c r="AH61" s="26" t="str">
        <f t="shared" si="9"/>
        <v/>
      </c>
      <c r="AI61" s="37" t="str">
        <f>IF(NOT(AN61="Categorie_1"),"",
IF(AH61="NC","NC",
IF(AS61="Oui","Faible impact",IF(AL61&gt;'Matrices aides'!$D$21,"Impact trop élevé","Impact modéré"))))</f>
        <v/>
      </c>
      <c r="AK61" s="83" t="str">
        <f t="shared" si="10"/>
        <v>NC</v>
      </c>
      <c r="AL61" s="83" t="str">
        <f t="shared" si="11"/>
        <v>NC</v>
      </c>
      <c r="AM61" s="84" t="str">
        <f t="shared" si="12"/>
        <v>NC</v>
      </c>
      <c r="AN61" s="82" t="str">
        <f t="shared" si="2"/>
        <v>Categorie_</v>
      </c>
      <c r="AO61" s="82" t="str">
        <f t="shared" si="13"/>
        <v>Non</v>
      </c>
      <c r="AP61" s="82" t="str">
        <f t="shared" si="14"/>
        <v>Non</v>
      </c>
      <c r="AQ61" s="82" t="str">
        <f>IF(B61="", "NC",
IF(NOT(AN61="Categorie_1"), "Oui",
IF(AND(AK61="NC", Mes_investissements!AL61&lt;='Matrices aides'!$D$21), "Oui",
IF(AND(AK61&lt;='Matrices aides'!$D$17, Mes_investissements!AL61&lt;='Matrices aides'!$D$21), "Oui", "Non"))))</f>
        <v>NC</v>
      </c>
      <c r="AR61" s="82" t="str">
        <f>IF(AN61="Categorie_1",
IF(I61="Chenilles", "NC",
IF(AK61&lt; INDEX(Seuils_CaR_et_PSS!$C$17:$F$26, MATCH($C61, Seuils_CaR_et_PSS!$C$17:$C$26,0), 2),"Oui","Non")),
"NC")</f>
        <v>NC</v>
      </c>
      <c r="AS61" s="82" t="str">
        <f>IF(AN61="Categorie_1",
IF(AND($C$23="Oui",AL61&lt;='Matrices aides'!$D$85),"Oui",
IF(AND($C$23="Oui",AL61&gt;'Matrices aides'!$D$85),"Non",
IF(AL61&lt;INDEX(Seuils_CaR_et_PSS!$C$17:$F$26,MATCH($C61,Seuils_CaR_et_PSS!$C$17:$C$26,0),3),"Oui", "Non"))),
"NC")</f>
        <v>NC</v>
      </c>
      <c r="AT61" s="82" t="str">
        <f>IF(AN61="Categorie_1",
IF(AM61="NC","NC",IF(AM61&lt;'Matrices aides'!$D$23,"Non","Oui")),
"NC")</f>
        <v>NC</v>
      </c>
      <c r="AU61" s="82" t="str">
        <f>IF(AS61="Non","Réduit",IF(AT61="Non",
IF(AND(C61=Seuils_CaR_et_PSS!$C$15,AR61="Oui"),"Bonifié","Réduit"),
IF(AR61="Non",IF(AND(C61=Seuils_CaR_et_PSS!$C$15,AM61&gt;='Matrices aides'!$D$23),"Bonifié","Réduit"),"Bonifié")))</f>
        <v>Bonifié</v>
      </c>
      <c r="AV61" s="82">
        <f t="shared" si="15"/>
        <v>0</v>
      </c>
      <c r="AW61" s="82" t="e">
        <f t="shared" si="16"/>
        <v>#N/A</v>
      </c>
    </row>
    <row r="62" spans="1:51" ht="50.15" customHeight="1" x14ac:dyDescent="0.35">
      <c r="A62" s="22">
        <v>19</v>
      </c>
      <c r="B62" s="30"/>
      <c r="C62" s="30"/>
      <c r="D62" s="88" t="str">
        <f>IF(C62="", "",
IF((INDEX(Plafonds_dépenses_éligibles!$B$2:$F$35, MATCH(C62, Plafonds_dépenses_éligibles!$C$2:$C$35, 0), 3))="", "", INDEX(Plafonds_dépenses_éligibles!$B$2:$F$35, MATCH(C62, Plafonds_dépenses_éligibles!$C$2:$C$35, 0), 3)))</f>
        <v/>
      </c>
      <c r="E62" s="89"/>
      <c r="F62" s="31" t="str">
        <f t="shared" si="3"/>
        <v/>
      </c>
      <c r="G62" s="33"/>
      <c r="H62" s="86"/>
      <c r="I62" s="32"/>
      <c r="J62" s="34"/>
      <c r="K62" s="34"/>
      <c r="L62" s="32"/>
      <c r="M62" s="34"/>
      <c r="N62" s="35"/>
      <c r="O62" s="36"/>
      <c r="P62" s="32"/>
      <c r="Q62" s="34"/>
      <c r="R62" s="35"/>
      <c r="S62" s="36"/>
      <c r="T62" s="102"/>
      <c r="U62" s="105"/>
      <c r="V62" s="103"/>
      <c r="W62" s="104"/>
      <c r="X62" s="97" t="str">
        <f t="shared" si="4"/>
        <v/>
      </c>
      <c r="Y62" s="45"/>
      <c r="Z62" s="96" t="str">
        <f t="shared" si="5"/>
        <v/>
      </c>
      <c r="AA62" s="27" t="str">
        <f>IF(F62="", "Veuillez indiquer si le matériel est neuf ou d'occasion",
IF(F62="Neuf",
IF(AB62="Par entreprise",
MAX(INDEX(Plafonds_dépenses_éligibles!$B$2:$F$35,MATCH(C62,Plafonds_dépenses_éligibles!$C$2:$C$35,0),5)-SUMIFS(Z$43:Z61,C$43:C61,C62), 0),  INDEX(Plafonds_dépenses_éligibles!$B$2:$F$35,MATCH(C62,Plafonds_dépenses_éligibles!$C$2:$C$35,0),5)),
IF(AB62="Par entreprise", MAX(INDEX(Plafonds_dépenses_éligibles!$B$2:$F$35,MATCH(C62,Plafonds_dépenses_éligibles!$C$2:$C$35,0),5)/2-SUMIFS(Z$43:Z61,C$43:C61,C62), 0),  INDEX(Plafonds_dépenses_éligibles!$B$2:$F$35,MATCH(C62,Plafonds_dépenses_éligibles!$C$2:$C$35,0),5)/2)))</f>
        <v>Veuillez indiquer si le matériel est neuf ou d'occasion</v>
      </c>
      <c r="AB62" s="27" t="str">
        <f>IF(F62="", "Veuillez indiquer si le matériel est neuf ou d'occasion", INDEX(Plafonds_dépenses_éligibles!$B$2:$F$35, MATCH(C62, Plafonds_dépenses_éligibles!$C$2:$C$35, 0), 4))</f>
        <v>Veuillez indiquer si le matériel est neuf ou d'occasion</v>
      </c>
      <c r="AC62" s="81" t="str">
        <f>IF(B62="", "NC",
IF(NOT(AN62="Categorie_1"),
IF(AV62= "TPE /PME", 'Matrices aides'!$D$9, 'Matrices aides'!$E$9)+30%*IF(AW62="Oui", 1, 0),
IF(AQ62="NC", "NC",
IF(AQ62="Non", 0,
INDEX('Matrices aides'!$B$25:$E$27, MATCH(AU62, 'Matrices aides'!$B$25:$B$27, 0), MATCH(AV62, 'Matrices aides'!$B$25:$E$25, 0))+30%*IF(AW62="Oui", 1, 0)))))</f>
        <v>NC</v>
      </c>
      <c r="AD62" s="81" t="str">
        <f t="shared" si="6"/>
        <v>NC</v>
      </c>
      <c r="AE62" s="28" t="str">
        <f t="shared" si="7"/>
        <v>Veuillez renseigner correctement les parties 1 à 2 et les cases bleues</v>
      </c>
      <c r="AF62" s="26" t="str">
        <f t="shared" si="8"/>
        <v/>
      </c>
      <c r="AG62" s="26" t="str">
        <f>IF(NOT(AN62="Categorie_1"),"",
IF(AK62="NC","NC",
IF(AR62="Oui","Faible impact",IF(AK62&gt;'Matrices aides'!$D$17,"Impact trop élevé","Impact modéré"))))</f>
        <v/>
      </c>
      <c r="AH62" s="26" t="str">
        <f t="shared" si="9"/>
        <v/>
      </c>
      <c r="AI62" s="37" t="str">
        <f>IF(NOT(AN62="Categorie_1"),"",
IF(AH62="NC","NC",
IF(AS62="Oui","Faible impact",IF(AL62&gt;'Matrices aides'!$D$21,"Impact trop élevé","Impact modéré"))))</f>
        <v/>
      </c>
      <c r="AK62" s="83" t="str">
        <f t="shared" si="10"/>
        <v>NC</v>
      </c>
      <c r="AL62" s="83" t="str">
        <f t="shared" si="11"/>
        <v>NC</v>
      </c>
      <c r="AM62" s="84" t="str">
        <f t="shared" si="12"/>
        <v>NC</v>
      </c>
      <c r="AN62" s="82" t="str">
        <f t="shared" si="2"/>
        <v>Categorie_</v>
      </c>
      <c r="AO62" s="82" t="str">
        <f t="shared" si="13"/>
        <v>Non</v>
      </c>
      <c r="AP62" s="82" t="str">
        <f t="shared" si="14"/>
        <v>Non</v>
      </c>
      <c r="AQ62" s="82" t="str">
        <f>IF(B62="", "NC",
IF(NOT(AN62="Categorie_1"), "Oui",
IF(AND(AK62="NC", Mes_investissements!AL62&lt;='Matrices aides'!$D$21), "Oui",
IF(AND(AK62&lt;='Matrices aides'!$D$17, Mes_investissements!AL62&lt;='Matrices aides'!$D$21), "Oui", "Non"))))</f>
        <v>NC</v>
      </c>
      <c r="AR62" s="82" t="str">
        <f>IF(AN62="Categorie_1",
IF(I62="Chenilles", "NC",
IF(AK62&lt; INDEX(Seuils_CaR_et_PSS!$C$17:$F$26, MATCH($C62, Seuils_CaR_et_PSS!$C$17:$C$26,0), 2),"Oui","Non")),
"NC")</f>
        <v>NC</v>
      </c>
      <c r="AS62" s="82" t="str">
        <f>IF(AN62="Categorie_1",
IF(AND($C$23="Oui",AL62&lt;='Matrices aides'!$D$85),"Oui",
IF(AND($C$23="Oui",AL62&gt;'Matrices aides'!$D$85),"Non",
IF(AL62&lt;INDEX(Seuils_CaR_et_PSS!$C$17:$F$26,MATCH($C62,Seuils_CaR_et_PSS!$C$17:$C$26,0),3),"Oui", "Non"))),
"NC")</f>
        <v>NC</v>
      </c>
      <c r="AT62" s="82" t="str">
        <f>IF(AN62="Categorie_1",
IF(AM62="NC","NC",IF(AM62&lt;'Matrices aides'!$D$23,"Non","Oui")),
"NC")</f>
        <v>NC</v>
      </c>
      <c r="AU62" s="82" t="str">
        <f>IF(AS62="Non","Réduit",IF(AT62="Non",
IF(AND(C62=Seuils_CaR_et_PSS!$C$15,AR62="Oui"),"Bonifié","Réduit"),
IF(AR62="Non",IF(AND(C62=Seuils_CaR_et_PSS!$C$15,AM62&gt;='Matrices aides'!$D$23),"Bonifié","Réduit"),"Bonifié")))</f>
        <v>Bonifié</v>
      </c>
      <c r="AV62" s="82">
        <f t="shared" si="15"/>
        <v>0</v>
      </c>
      <c r="AW62" s="82" t="e">
        <f t="shared" si="16"/>
        <v>#N/A</v>
      </c>
    </row>
    <row r="63" spans="1:51" ht="50.15" customHeight="1" x14ac:dyDescent="0.35">
      <c r="A63" s="22">
        <v>20</v>
      </c>
      <c r="B63" s="30"/>
      <c r="C63" s="30"/>
      <c r="D63" s="88" t="str">
        <f>IF(C63="", "",
IF((INDEX(Plafonds_dépenses_éligibles!$B$2:$F$35, MATCH(C63, Plafonds_dépenses_éligibles!$C$2:$C$35, 0), 3))="", "", INDEX(Plafonds_dépenses_éligibles!$B$2:$F$35, MATCH(C63, Plafonds_dépenses_éligibles!$C$2:$C$35, 0), 3)))</f>
        <v/>
      </c>
      <c r="E63" s="89"/>
      <c r="F63" s="31" t="str">
        <f t="shared" si="3"/>
        <v/>
      </c>
      <c r="G63" s="33"/>
      <c r="H63" s="86"/>
      <c r="I63" s="32"/>
      <c r="J63" s="34"/>
      <c r="K63" s="34"/>
      <c r="L63" s="32"/>
      <c r="M63" s="34"/>
      <c r="N63" s="35"/>
      <c r="O63" s="36"/>
      <c r="P63" s="32"/>
      <c r="Q63" s="34"/>
      <c r="R63" s="35"/>
      <c r="S63" s="36"/>
      <c r="T63" s="102"/>
      <c r="U63" s="105"/>
      <c r="V63" s="103"/>
      <c r="W63" s="104"/>
      <c r="X63" s="97" t="str">
        <f t="shared" si="4"/>
        <v/>
      </c>
      <c r="Y63" s="45"/>
      <c r="Z63" s="96" t="str">
        <f t="shared" si="5"/>
        <v/>
      </c>
      <c r="AA63" s="27" t="str">
        <f>IF(F63="", "Veuillez indiquer si le matériel est neuf ou d'occasion",
IF(F63="Neuf",
IF(AB63="Par entreprise",
MAX(INDEX(Plafonds_dépenses_éligibles!$B$2:$F$35,MATCH(C63,Plafonds_dépenses_éligibles!$C$2:$C$35,0),5)-SUMIFS(Z$43:Z62,C$43:C62,C63), 0),  INDEX(Plafonds_dépenses_éligibles!$B$2:$F$35,MATCH(C63,Plafonds_dépenses_éligibles!$C$2:$C$35,0),5)),
IF(AB63="Par entreprise", MAX(INDEX(Plafonds_dépenses_éligibles!$B$2:$F$35,MATCH(C63,Plafonds_dépenses_éligibles!$C$2:$C$35,0),5)/2-SUMIFS(Z$43:Z62,C$43:C62,C63), 0),  INDEX(Plafonds_dépenses_éligibles!$B$2:$F$35,MATCH(C63,Plafonds_dépenses_éligibles!$C$2:$C$35,0),5)/2)))</f>
        <v>Veuillez indiquer si le matériel est neuf ou d'occasion</v>
      </c>
      <c r="AB63" s="27" t="str">
        <f>IF(F63="", "Veuillez indiquer si le matériel est neuf ou d'occasion", INDEX(Plafonds_dépenses_éligibles!$B$2:$F$35, MATCH(C63, Plafonds_dépenses_éligibles!$C$2:$C$35, 0), 4))</f>
        <v>Veuillez indiquer si le matériel est neuf ou d'occasion</v>
      </c>
      <c r="AC63" s="81" t="str">
        <f>IF(B63="", "NC",
IF(NOT(AN63="Categorie_1"),
IF(AV63= "TPE /PME", 'Matrices aides'!$D$9, 'Matrices aides'!$E$9)+30%*IF(AW63="Oui", 1, 0),
IF(AQ63="NC", "NC",
IF(AQ63="Non", 0,
INDEX('Matrices aides'!$B$25:$E$27, MATCH(AU63, 'Matrices aides'!$B$25:$B$27, 0), MATCH(AV63, 'Matrices aides'!$B$25:$E$25, 0))+30%*IF(AW63="Oui", 1, 0)))))</f>
        <v>NC</v>
      </c>
      <c r="AD63" s="81" t="str">
        <f t="shared" si="6"/>
        <v>NC</v>
      </c>
      <c r="AE63" s="28" t="str">
        <f t="shared" si="7"/>
        <v>Veuillez renseigner correctement les parties 1 à 2 et les cases bleues</v>
      </c>
      <c r="AF63" s="26" t="str">
        <f t="shared" si="8"/>
        <v/>
      </c>
      <c r="AG63" s="26" t="str">
        <f>IF(NOT(AN63="Categorie_1"),"",
IF(AK63="NC","NC",
IF(AR63="Oui","Faible impact",IF(AK63&gt;'Matrices aides'!$D$17,"Impact trop élevé","Impact modéré"))))</f>
        <v/>
      </c>
      <c r="AH63" s="26" t="str">
        <f t="shared" si="9"/>
        <v/>
      </c>
      <c r="AI63" s="37" t="str">
        <f>IF(NOT(AN63="Categorie_1"),"",
IF(AH63="NC","NC",
IF(AS63="Oui","Faible impact",IF(AL63&gt;'Matrices aides'!$D$21,"Impact trop élevé","Impact modéré"))))</f>
        <v/>
      </c>
      <c r="AK63" s="83" t="str">
        <f t="shared" si="10"/>
        <v>NC</v>
      </c>
      <c r="AL63" s="83" t="str">
        <f t="shared" si="11"/>
        <v>NC</v>
      </c>
      <c r="AM63" s="84" t="str">
        <f t="shared" si="12"/>
        <v>NC</v>
      </c>
      <c r="AN63" s="82" t="str">
        <f t="shared" si="2"/>
        <v>Categorie_</v>
      </c>
      <c r="AO63" s="82" t="str">
        <f t="shared" si="13"/>
        <v>Non</v>
      </c>
      <c r="AP63" s="82" t="str">
        <f t="shared" si="14"/>
        <v>Non</v>
      </c>
      <c r="AQ63" s="82" t="str">
        <f>IF(B63="", "NC",
IF(NOT(AN63="Categorie_1"), "Oui",
IF(AND(AK63="NC", Mes_investissements!AL63&lt;='Matrices aides'!$D$21), "Oui",
IF(AND(AK63&lt;='Matrices aides'!$D$17, Mes_investissements!AL63&lt;='Matrices aides'!$D$21), "Oui", "Non"))))</f>
        <v>NC</v>
      </c>
      <c r="AR63" s="82" t="str">
        <f>IF(AN63="Categorie_1",
IF(I63="Chenilles", "NC",
IF(AK63&lt; INDEX(Seuils_CaR_et_PSS!$C$17:$F$26, MATCH($C63, Seuils_CaR_et_PSS!$C$17:$C$26,0), 2),"Oui","Non")),
"NC")</f>
        <v>NC</v>
      </c>
      <c r="AS63" s="82" t="str">
        <f>IF(AN63="Categorie_1",
IF(AND($C$23="Oui",AL63&lt;='Matrices aides'!$D$85),"Oui",
IF(AND($C$23="Oui",AL63&gt;'Matrices aides'!$D$85),"Non",
IF(AL63&lt;INDEX(Seuils_CaR_et_PSS!$C$17:$F$26,MATCH($C63,Seuils_CaR_et_PSS!$C$17:$C$26,0),3),"Oui", "Non"))),
"NC")</f>
        <v>NC</v>
      </c>
      <c r="AT63" s="82" t="str">
        <f>IF(AN63="Categorie_1",
IF(AM63="NC","NC",IF(AM63&lt;'Matrices aides'!$D$23,"Non","Oui")),
"NC")</f>
        <v>NC</v>
      </c>
      <c r="AU63" s="82" t="str">
        <f>IF(AS63="Non","Réduit",IF(AT63="Non",
IF(AND(C63=Seuils_CaR_et_PSS!$C$15,AR63="Oui"),"Bonifié","Réduit"),
IF(AR63="Non",IF(AND(C63=Seuils_CaR_et_PSS!$C$15,AM63&gt;='Matrices aides'!$D$23),"Bonifié","Réduit"),"Bonifié")))</f>
        <v>Bonifié</v>
      </c>
      <c r="AV63" s="82">
        <f t="shared" si="15"/>
        <v>0</v>
      </c>
      <c r="AW63" s="82" t="e">
        <f t="shared" si="16"/>
        <v>#N/A</v>
      </c>
    </row>
    <row r="64" spans="1:51"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51" s="93" customFormat="1" ht="21" x14ac:dyDescent="0.35">
      <c r="A65" s="91" t="s">
        <v>70</v>
      </c>
      <c r="B65" s="92"/>
      <c r="C65" s="92"/>
      <c r="D65" s="92"/>
      <c r="E65" s="92"/>
      <c r="F65" s="92"/>
      <c r="G65" s="92"/>
      <c r="H65" s="92"/>
      <c r="I65" s="92"/>
      <c r="J65" s="92"/>
      <c r="K65" s="92"/>
      <c r="L65" s="92"/>
      <c r="M65" s="92"/>
    </row>
    <row r="66" spans="1:51" x14ac:dyDescent="0.35">
      <c r="AI66" s="8"/>
    </row>
    <row r="67" spans="1:51" ht="48.75" customHeight="1" x14ac:dyDescent="0.35">
      <c r="A67" s="3"/>
      <c r="B67" s="132" t="s">
        <v>71</v>
      </c>
      <c r="C67" s="133"/>
      <c r="D67" s="133"/>
      <c r="E67" s="133"/>
      <c r="F67" s="134"/>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row>
    <row r="68" spans="1:51" x14ac:dyDescent="0.35">
      <c r="AI68" s="8"/>
    </row>
    <row r="69" spans="1:51" x14ac:dyDescent="0.35">
      <c r="A69" s="3"/>
      <c r="B69" s="140" t="s">
        <v>31</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row>
    <row r="70" spans="1:51" ht="43.5" x14ac:dyDescent="0.35">
      <c r="A70" s="3"/>
      <c r="B70" s="22" t="s">
        <v>32</v>
      </c>
      <c r="C70" s="18" t="s">
        <v>32</v>
      </c>
      <c r="D70" s="22" t="s">
        <v>72</v>
      </c>
      <c r="E70" s="18" t="s">
        <v>34</v>
      </c>
      <c r="F70" s="18" t="s">
        <v>35</v>
      </c>
      <c r="G70" s="18" t="s">
        <v>36</v>
      </c>
      <c r="H70" s="18" t="s">
        <v>37</v>
      </c>
      <c r="I70" s="18" t="s">
        <v>38</v>
      </c>
      <c r="J70" s="18" t="s">
        <v>39</v>
      </c>
      <c r="K70" s="18" t="s">
        <v>40</v>
      </c>
      <c r="L70" s="18" t="s">
        <v>41</v>
      </c>
      <c r="M70" s="18" t="s">
        <v>42</v>
      </c>
      <c r="N70" s="18" t="s">
        <v>43</v>
      </c>
      <c r="O70" s="18" t="s">
        <v>44</v>
      </c>
      <c r="P70" s="18" t="s">
        <v>45</v>
      </c>
      <c r="Q70" s="18" t="s">
        <v>42</v>
      </c>
      <c r="R70" s="18" t="s">
        <v>43</v>
      </c>
      <c r="S70" s="18" t="s">
        <v>44</v>
      </c>
      <c r="T70" s="18" t="s">
        <v>46</v>
      </c>
      <c r="U70" s="18" t="s">
        <v>42</v>
      </c>
      <c r="V70" s="18" t="s">
        <v>43</v>
      </c>
      <c r="W70" s="18" t="s">
        <v>44</v>
      </c>
      <c r="X70" s="18" t="s">
        <v>47</v>
      </c>
      <c r="Y70" s="18" t="s">
        <v>48</v>
      </c>
      <c r="Z70" s="18" t="s">
        <v>49</v>
      </c>
      <c r="AA70" s="19" t="s">
        <v>50</v>
      </c>
      <c r="AB70" s="19" t="s">
        <v>51</v>
      </c>
      <c r="AC70" s="20" t="s">
        <v>52</v>
      </c>
      <c r="AD70" s="20" t="s">
        <v>53</v>
      </c>
      <c r="AE70" s="21" t="s">
        <v>8</v>
      </c>
      <c r="AF70" s="19" t="s">
        <v>54</v>
      </c>
      <c r="AG70" s="20" t="s">
        <v>55</v>
      </c>
      <c r="AH70" s="20" t="s">
        <v>56</v>
      </c>
      <c r="AI70" s="38" t="s">
        <v>57</v>
      </c>
      <c r="AJ70" s="7"/>
      <c r="AK70" s="85" t="s">
        <v>58</v>
      </c>
      <c r="AL70" s="2" t="s">
        <v>59</v>
      </c>
      <c r="AM70" s="2" t="s">
        <v>60</v>
      </c>
      <c r="AN70" s="2" t="s">
        <v>61</v>
      </c>
      <c r="AO70" s="2" t="s">
        <v>62</v>
      </c>
      <c r="AP70" s="2" t="s">
        <v>63</v>
      </c>
      <c r="AQ70" s="2" t="s">
        <v>64</v>
      </c>
      <c r="AR70" s="2" t="s">
        <v>65</v>
      </c>
      <c r="AS70" s="2" t="s">
        <v>66</v>
      </c>
      <c r="AT70" s="2" t="s">
        <v>67</v>
      </c>
      <c r="AU70" s="2" t="s">
        <v>68</v>
      </c>
      <c r="AV70" s="2" t="s">
        <v>69</v>
      </c>
      <c r="AW70" s="2" t="s">
        <v>19</v>
      </c>
    </row>
    <row r="71" spans="1:51" ht="50.15" customHeight="1" x14ac:dyDescent="0.35">
      <c r="A71" s="22">
        <v>1</v>
      </c>
      <c r="B71" s="30"/>
      <c r="C71" s="30"/>
      <c r="D71" s="90" t="s">
        <v>73</v>
      </c>
      <c r="E71" s="89"/>
      <c r="F71" s="31" t="str">
        <f t="shared" ref="F71:F72" si="17">IF(B71="", "",
IF(B71="Catégorie 1 : Machines d’exploitation et de sylviculture couramment utilisées", "Veuillez préciser","Neuf"))</f>
        <v/>
      </c>
      <c r="G71" s="33"/>
      <c r="H71" s="86"/>
      <c r="I71" s="32"/>
      <c r="J71" s="34"/>
      <c r="K71" s="34"/>
      <c r="L71" s="32"/>
      <c r="M71" s="34"/>
      <c r="N71" s="35"/>
      <c r="O71" s="36"/>
      <c r="P71" s="32"/>
      <c r="Q71" s="34"/>
      <c r="R71" s="35"/>
      <c r="S71" s="36"/>
      <c r="T71" s="36"/>
      <c r="U71" s="36"/>
      <c r="V71" s="36"/>
      <c r="W71" s="36"/>
      <c r="X71" s="97" t="str">
        <f>IF(B71="", "",
IF(B71="Catégorie 1 : Machines d’exploitation et de sylviculture couramment utilisées", 1,"Veuillez préciser"))</f>
        <v/>
      </c>
      <c r="Y71" s="45"/>
      <c r="Z71" s="96" t="str">
        <f>IF(X71="", "", X71*Y71)</f>
        <v/>
      </c>
      <c r="AA71" s="27">
        <f>Plafonds_dépenses_éligibles!$F$29</f>
        <v>300000</v>
      </c>
      <c r="AB71" s="27" t="str">
        <f>Plafonds_dépenses_éligibles!$E$29</f>
        <v>Par équipement</v>
      </c>
      <c r="AC71" s="81" t="str">
        <f>IF(B71="", "NC",
IF(NOT(AN71="Categorie_1"),
IF(AV71= "TPE /PME", 'Matrices aides'!$D$9, 'Matrices aides'!$E$9),
IF(AQ71="NC", "NC",
IF(AQ71="Non", 0,
INDEX('Matrices aides'!$B$25:$E$27, MATCH(AU71, 'Matrices aides'!$B$25:$B$27, 0), MATCH(AV71, 'Matrices aides'!$B$25:$E$25, 0))+30%*IF(AW71="Oui", 1, 0)+10%))))</f>
        <v>NC</v>
      </c>
      <c r="AD71" s="81" t="str">
        <f>IF(AC71="NC", "NC", AE71/Z71)</f>
        <v>NC</v>
      </c>
      <c r="AE71" s="28" t="str">
        <f>IF(OR(Z71="",$AK$16&lt;6),"Veuillez renseigner correctement les parties 1 à 2 et les cases bleues",
IF((SUM(AE$44:AE$62)+MIN(Z71,AA71)*AC71)&gt;1000000,"Attention, plafond maximum d'aides souhaitées atteint", MIN(Z71,AA71)*AC71))</f>
        <v>Veuillez renseigner correctement les parties 1 à 2 et les cases bleues</v>
      </c>
      <c r="AF71" s="26" t="str">
        <f>IF(AK71="NC", "", CONCATENATE(ROUND(AK71,2)," t/roue."))</f>
        <v/>
      </c>
      <c r="AG71" s="26" t="str">
        <f>IF(NOT(AN71="Categorie_1"),"",
IF(AK71="NC","NC",
IF(AR71="Oui","Faible impact",IF(AK71&gt;'Matrices aides'!$D$17,"Impact trop élevé","Impact modéré"))))</f>
        <v/>
      </c>
      <c r="AH71" s="26" t="str">
        <f>IF(AL71="NC", "",
IF(AL71=0, "NC",
CONCATENATE(ROUND(AL71,2)," kg/cm².")))</f>
        <v/>
      </c>
      <c r="AI71" s="37" t="str">
        <f>IF(NOT(AN71="Categorie_1"),"",
IF(AH71="NC","NC",
IF(AS71="Oui","Faible impact",IF(AL71&gt;'Matrices aides'!$D$21,"Impact trop élevé","Impact modéré"))))</f>
        <v/>
      </c>
      <c r="AK71" s="83" t="str">
        <f>IF(NOT(AN71="Categorie_1"),"NC",
IF(I71="Roues", ((G71+H71)/1000)/(L71+P71), "NC"))</f>
        <v>NC</v>
      </c>
      <c r="AL71" s="83" t="str">
        <f>IF(NOT(AN71="Categorie_1"), "NC",
IF(I71="Roues",
IF(OR(C71="Tracteur agricole blindé forestier",C71="Ensemble tracteur forestier + remorque forestière avec ranchers + grue ",C71="Débusqueur à câble ou débusqueur à grue munis d'un treuil ou tout autre dispositif permettant de tirer les bois jusqu'au cloisonnement d'exploitation"),0,
(G71+H71)/(L71*M71/10*(N71*(M71/10)+O71*2.54/2)+P71*Q71/10*(R71*(Q71/10)+S71*2.54/2))),
IF(I71="Chenilles",(G71+H71)/(2*J71/10*K71/10), "NC")))</f>
        <v>NC</v>
      </c>
      <c r="AM71" s="84" t="str">
        <f>IF(AND(AO71="Non",AP71="Non"),"NC",
IF(Q71="","",
IF(AP71="Oui",MIN(M71,Q71), Q71)))</f>
        <v>NC</v>
      </c>
      <c r="AN71" s="82" t="str">
        <f t="shared" ref="AN71" si="18">_xlfn.CONCAT("Categorie_", MID(B71, 11, 1))</f>
        <v>Categorie_</v>
      </c>
      <c r="AO71" s="82" t="str">
        <f>IF(OR(C71="Tracteur agricole blindé forestier",C71="Ensemble tracteur forestier + remorque forestière avec ranchers + grue "), "Oui", "Non")</f>
        <v>Non</v>
      </c>
      <c r="AP71" s="82" t="str">
        <f>IF(C71="Débusqueur à câble ou débusqueur à grue munis d'un treuil ou tout autre dispositif permettant de tirer les bois jusqu'au cloisonnement d'exploitation", "Oui", "Non")</f>
        <v>Non</v>
      </c>
      <c r="AQ71" s="82" t="str">
        <f>IF(B71="", "NC",
IF(NOT(AN71="Categorie_1"), "Oui",
IF(AND(AK71="NC", Mes_investissements!AL71&lt;='Matrices aides'!$D$21), "Oui",
IF(AND(AK71&lt;='Matrices aides'!$D$17, Mes_investissements!AL71&lt;='Matrices aides'!$D$21), "Oui", "Non"))))</f>
        <v>NC</v>
      </c>
      <c r="AR71" s="82" t="str">
        <f>IF(AN71="Categorie_1",
IF(I71="Chenilles", "NC",
IF(AK71&lt; INDEX(Seuils_CaR_et_PSS!$C$17:$F$26, MATCH($C71, Seuils_CaR_et_PSS!$C$17:$C$26,0), 2),"Oui","Non")),
"NC")</f>
        <v>NC</v>
      </c>
      <c r="AS71" s="82" t="str">
        <f>IF(AN71="Categorie_1",
IF(AND($C$23="Oui",AL71&lt;='Matrices aides'!$D$85),"Oui",
IF(AND($C$23="Oui",AL71&gt;'Matrices aides'!$D$85),"Non",
IF(AL71&lt;INDEX(Seuils_CaR_et_PSS!$C$17:$F$26,MATCH($C71,Seuils_CaR_et_PSS!$C$17:$C$26,0),3),"Oui", "Non"))),
"NC")</f>
        <v>NC</v>
      </c>
      <c r="AT71" s="82" t="str">
        <f>IF(AN71="Categorie_1",
IF(AM71="NC","NC",IF(AM71&lt;'Matrices aides'!$D$23,"Non","Oui")),
"NC")</f>
        <v>NC</v>
      </c>
      <c r="AU71" s="82" t="str">
        <f>IF(AS71="Non","Réduit",IF(AT71="Non",
IF(AND(C71=Seuils_CaR_et_PSS!$C$15,AR71="Oui"),"Bonifié","Réduit"),
IF(AR71="Non",IF(AND(C71=Seuils_CaR_et_PSS!$C$15,AM71&gt;='Matrices aides'!$D$23),"Bonifié","Réduit"),"Bonifié")))</f>
        <v>Bonifié</v>
      </c>
      <c r="AV71" s="82">
        <f>$C$19</f>
        <v>0</v>
      </c>
      <c r="AW71" s="82" t="e">
        <f>IF($C$22="Oui", "Oui", "Non")</f>
        <v>#N/A</v>
      </c>
    </row>
    <row r="72" spans="1:51" ht="50.15" customHeight="1" x14ac:dyDescent="0.35">
      <c r="A72" s="22">
        <v>2</v>
      </c>
      <c r="B72" s="30"/>
      <c r="C72" s="30"/>
      <c r="D72" s="90" t="s">
        <v>73</v>
      </c>
      <c r="E72" s="89"/>
      <c r="F72" s="31" t="str">
        <f t="shared" si="17"/>
        <v/>
      </c>
      <c r="G72" s="33"/>
      <c r="H72" s="86"/>
      <c r="I72" s="32"/>
      <c r="J72" s="34"/>
      <c r="K72" s="34"/>
      <c r="L72" s="32"/>
      <c r="M72" s="34"/>
      <c r="N72" s="35"/>
      <c r="O72" s="36"/>
      <c r="P72" s="32"/>
      <c r="Q72" s="34"/>
      <c r="R72" s="35"/>
      <c r="S72" s="36"/>
      <c r="T72" s="36"/>
      <c r="U72" s="36"/>
      <c r="V72" s="36"/>
      <c r="W72" s="36"/>
      <c r="X72" s="97" t="str">
        <f t="shared" ref="X72:X74" si="19">IF(B72="", "",
IF(B72="Catégorie 1 : Machines d’exploitation et de sylviculture couramment utilisées", 1,"Veuillez préciser"))</f>
        <v/>
      </c>
      <c r="Y72" s="45"/>
      <c r="Z72" s="96" t="str">
        <f t="shared" ref="Z72:Z74" si="20">IF(X72="", "", X72*Y72)</f>
        <v/>
      </c>
      <c r="AA72" s="27">
        <f>Plafonds_dépenses_éligibles!$F$29</f>
        <v>300000</v>
      </c>
      <c r="AB72" s="27" t="str">
        <f>Plafonds_dépenses_éligibles!$E$29</f>
        <v>Par équipement</v>
      </c>
      <c r="AC72" s="81" t="str">
        <f>IF(B72="", "NC",
IF(NOT(AN72="Categorie_1"),
IF(AV72= "TPE /PME", 'Matrices aides'!$D$9, 'Matrices aides'!$E$9),
IF(AQ72="NC", "NC",
IF(AQ72="Non", 0,
INDEX('Matrices aides'!$B$25:$E$27, MATCH(AU72, 'Matrices aides'!$B$25:$B$27, 0), MATCH(AV72, 'Matrices aides'!$B$25:$E$25, 0))+30%*IF(AW72="Oui", 1, 0)+10%))))</f>
        <v>NC</v>
      </c>
      <c r="AD72" s="81" t="str">
        <f t="shared" ref="AD72:AD74" si="21">IF(AC72="NC", "NC", AE72/Z72)</f>
        <v>NC</v>
      </c>
      <c r="AE72" s="28" t="str">
        <f t="shared" ref="AE72:AE74" si="22">IF(OR(Z72="",$AK$16&lt;6),"Veuillez renseigner correctement les parties 1 à 2 et les cases bleues",
IF((SUM(AE$44:AE$62)+MIN(Z72,AA72)*AC72)&gt;1000000,"Attention, plafond maximum d'aides souhaitées atteint", MIN(Z72,AA72)*AC72))</f>
        <v>Veuillez renseigner correctement les parties 1 à 2 et les cases bleues</v>
      </c>
      <c r="AF72" s="26" t="str">
        <f>IF(AK72="NC", "", CONCATENATE(ROUND(AK72,2)," t/roue."))</f>
        <v/>
      </c>
      <c r="AG72" s="26" t="str">
        <f>IF(NOT(OR(AN72="Categorie_1",C72="Robot de plantation")),"",
IF(AK72="NC","NC",
IF(AR72="Oui","Faible impact",IF(AK72&gt;'Matrices aides'!$D$17,"Impact trop élevé","Impact modéré"))))</f>
        <v/>
      </c>
      <c r="AH72" s="26" t="str">
        <f>IF(AL72="NC", "",
IF(AL72=0, "NC",
CONCATENATE(ROUND(AL72,2)," kg/cm².")))</f>
        <v/>
      </c>
      <c r="AI72" s="37" t="str">
        <f>IF(NOT(OR(AN72="Categorie_1",C72="Robot de plantation")),"",
IF(AH72="NC","NC",
IF(AS72="Oui","Faible impact",IF(AL72&gt;'Matrices aides'!$D$21,"Impact trop élevé","Impact modéré"))))</f>
        <v/>
      </c>
      <c r="AK72" s="83" t="str">
        <f t="shared" ref="AK72:AK74" si="23">IF(NOT(AN72="Categorie_1"),"NC",
IF(I72="Roues", ((G72+H72)/1000)/(L72+P72), "NC"))</f>
        <v>NC</v>
      </c>
      <c r="AL72" s="83" t="str">
        <f t="shared" ref="AL72:AL74" si="24">IF(NOT(AN72="Categorie_1"), "NC",
IF(I72="Roues",
IF(OR(C72="Tracteur agricole blindé forestier",C72="Ensemble tracteur forestier + remorque forestière avec ranchers + grue ",C72="Débusqueur à câble ou débusqueur à grue munis d'un treuil ou tout autre dispositif permettant de tirer les bois jusqu'au cloisonnement d'exploitation"),0,
(G72+H72)/(L72*M72/10*(N72*(M72/10)+O72*2.54/2)+P72*Q72/10*(R72*(Q72/10)+S72*2.54/2))),
IF(I72="Chenilles",(G72+H72)/(2*J72/10*K72/10), "NC")))</f>
        <v>NC</v>
      </c>
      <c r="AM72" s="84" t="str">
        <f t="shared" ref="AM72:AM74" si="25">IF(AND(AO72="Non",AP72="Non"),"NC",
IF(Q72="","",
IF(AP72="Oui",MIN(M72,Q72), Q72)))</f>
        <v>NC</v>
      </c>
      <c r="AN72" s="82" t="str">
        <f t="shared" ref="AN72:AN74" si="26">_xlfn.CONCAT("Categorie_", MID(B72, 11, 1))</f>
        <v>Categorie_</v>
      </c>
      <c r="AO72" s="82" t="str">
        <f t="shared" ref="AO72:AO74" si="27">IF(OR(C72="Tracteur agricole blindé forestier",C72="Ensemble tracteur forestier + remorque forestière avec ranchers + grue "), "Oui", "Non")</f>
        <v>Non</v>
      </c>
      <c r="AP72" s="82" t="str">
        <f t="shared" ref="AP72:AP74" si="28">IF(C72="Débusqueur à câble ou débusqueur à grue munis d'un treuil ou tout autre dispositif permettant de tirer les bois jusqu'au cloisonnement d'exploitation", "Oui", "Non")</f>
        <v>Non</v>
      </c>
      <c r="AQ72" s="82" t="str">
        <f>IF(B72="", "NC",
IF(NOT(AN72="Categorie_1"), "Oui",
IF(AND(AK72="NC", Mes_investissements!AL72&lt;='Matrices aides'!$D$21), "Oui",
IF(AND(AK72&lt;='Matrices aides'!$D$17, Mes_investissements!AL72&lt;='Matrices aides'!$D$21), "Oui", "Non"))))</f>
        <v>NC</v>
      </c>
      <c r="AR72" s="82" t="str">
        <f>IF(AN72="Categorie_1",
IF(I72="Chenilles", "NC",
IF(AK72&lt; INDEX(Seuils_CaR_et_PSS!$C$17:$F$26, MATCH($C72, Seuils_CaR_et_PSS!$C$17:$C$26,0), 2),"Oui","Non")),
"NC")</f>
        <v>NC</v>
      </c>
      <c r="AS72" s="82" t="str">
        <f>IF(AN72="Categorie_1",
IF(AND($C$23="Oui",AL72&lt;='Matrices aides'!$D$85),"Oui",
IF(AND($C$23="Oui",AL72&gt;'Matrices aides'!$D$85),"Non",
IF(AL72&lt;INDEX(Seuils_CaR_et_PSS!$C$17:$F$26,MATCH($C72,Seuils_CaR_et_PSS!$C$17:$C$26,0),3),"Oui", "Non"))),
"NC")</f>
        <v>NC</v>
      </c>
      <c r="AT72" s="82" t="str">
        <f>IF(AN72="Categorie_1",
IF(AM72="NC","NC",IF(AM72&lt;'Matrices aides'!$D$23,"Non","Oui")),
"NC")</f>
        <v>NC</v>
      </c>
      <c r="AU72" s="82" t="str">
        <f>IF(AS72="Non","Réduit",IF(AT72="Non",
IF(AND(C72=Seuils_CaR_et_PSS!$C$15,AR72="Oui"),"Bonifié","Réduit"),
IF(AR72="Non",IF(AND(C72=Seuils_CaR_et_PSS!$C$15,AM72&gt;='Matrices aides'!$D$23),"Bonifié","Réduit"),"Bonifié")))</f>
        <v>Bonifié</v>
      </c>
      <c r="AV72" s="82">
        <f t="shared" ref="AV72:AV74" si="29">$C$19</f>
        <v>0</v>
      </c>
      <c r="AW72" s="82" t="e">
        <f t="shared" ref="AW72:AW74" si="30">IF($C$22="Oui", "Oui", "Non")</f>
        <v>#N/A</v>
      </c>
    </row>
    <row r="73" spans="1:51" ht="50.15" customHeight="1" x14ac:dyDescent="0.35">
      <c r="A73" s="22">
        <v>3</v>
      </c>
      <c r="B73" s="30"/>
      <c r="C73" s="30"/>
      <c r="D73" s="90" t="s">
        <v>73</v>
      </c>
      <c r="E73" s="89"/>
      <c r="F73" s="31" t="str">
        <f>IF(B73="", "",
IF(B73="Catégorie 1 : Machines d’exploitation et de sylviculture couramment utilisées", "Veuillez préciser","Neuf"))</f>
        <v/>
      </c>
      <c r="G73" s="33"/>
      <c r="H73" s="86"/>
      <c r="I73" s="32"/>
      <c r="J73" s="34"/>
      <c r="K73" s="34"/>
      <c r="L73" s="32"/>
      <c r="M73" s="34"/>
      <c r="N73" s="35"/>
      <c r="O73" s="36"/>
      <c r="P73" s="32"/>
      <c r="Q73" s="34"/>
      <c r="R73" s="35"/>
      <c r="S73" s="36"/>
      <c r="T73" s="36"/>
      <c r="U73" s="36"/>
      <c r="V73" s="36"/>
      <c r="W73" s="36"/>
      <c r="X73" s="97" t="str">
        <f t="shared" si="19"/>
        <v/>
      </c>
      <c r="Y73" s="45"/>
      <c r="Z73" s="96" t="str">
        <f t="shared" si="20"/>
        <v/>
      </c>
      <c r="AA73" s="27">
        <f>Plafonds_dépenses_éligibles!$F$29</f>
        <v>300000</v>
      </c>
      <c r="AB73" s="27" t="str">
        <f>Plafonds_dépenses_éligibles!$E$29</f>
        <v>Par équipement</v>
      </c>
      <c r="AC73" s="81" t="str">
        <f>IF(B73="", "NC",
IF(NOT(AN73="Categorie_1"),
IF(AV73= "TPE /PME", 'Matrices aides'!$D$9, 'Matrices aides'!$E$9),
IF(AQ73="NC", "NC",
IF(AQ73="Non", 0,
INDEX('Matrices aides'!$B$25:$E$27, MATCH(AU73, 'Matrices aides'!$B$25:$B$27, 0), MATCH(AV73, 'Matrices aides'!$B$25:$E$25, 0))+30%*IF(AW73="Oui", 1, 0)+10%))))</f>
        <v>NC</v>
      </c>
      <c r="AD73" s="81" t="str">
        <f t="shared" si="21"/>
        <v>NC</v>
      </c>
      <c r="AE73" s="28" t="str">
        <f t="shared" si="22"/>
        <v>Veuillez renseigner correctement les parties 1 à 2 et les cases bleues</v>
      </c>
      <c r="AF73" s="26" t="str">
        <f>IF(AK73="NC", "", CONCATENATE(ROUND(AK73,2)," t/roue."))</f>
        <v/>
      </c>
      <c r="AG73" s="26" t="str">
        <f>IF(NOT(OR(AN73="Categorie_1",C73="Robot de plantation")),"",
IF(AK73="NC","NC",
IF(AR73="Oui","Faible impact",IF(AK73&gt;'Matrices aides'!$D$17,"Impact trop élevé","Impact modéré"))))</f>
        <v/>
      </c>
      <c r="AH73" s="26" t="str">
        <f>IF(AL73="NC", "",
IF(AL73=0, "NC",
CONCATENATE(ROUND(AL73,2)," kg/cm².")))</f>
        <v/>
      </c>
      <c r="AI73" s="37" t="str">
        <f>IF(NOT(OR(AN73="Categorie_1",C73="Robot de plantation")),"",
IF(AH73="NC","NC",
IF(AS73="Oui","Faible impact",IF(AL73&gt;'Matrices aides'!$D$21,"Impact trop élevé","Impact modéré"))))</f>
        <v/>
      </c>
      <c r="AK73" s="83" t="str">
        <f t="shared" si="23"/>
        <v>NC</v>
      </c>
      <c r="AL73" s="83" t="str">
        <f t="shared" si="24"/>
        <v>NC</v>
      </c>
      <c r="AM73" s="84" t="str">
        <f t="shared" si="25"/>
        <v>NC</v>
      </c>
      <c r="AN73" s="82" t="str">
        <f t="shared" si="26"/>
        <v>Categorie_</v>
      </c>
      <c r="AO73" s="82" t="str">
        <f t="shared" si="27"/>
        <v>Non</v>
      </c>
      <c r="AP73" s="82" t="str">
        <f t="shared" si="28"/>
        <v>Non</v>
      </c>
      <c r="AQ73" s="82" t="str">
        <f>IF(B73="", "NC",
IF(NOT(AN73="Categorie_1"), "Oui",
IF(AND(AK73="NC", Mes_investissements!AL73&lt;='Matrices aides'!$D$21), "Oui",
IF(AND(AK73&lt;='Matrices aides'!$D$17, Mes_investissements!AL73&lt;='Matrices aides'!$D$21), "Oui", "Non"))))</f>
        <v>NC</v>
      </c>
      <c r="AR73" s="82" t="str">
        <f>IF(AN73="Categorie_1",
IF(I73="Chenilles", "NC",
IF(AK73&lt; INDEX(Seuils_CaR_et_PSS!$C$17:$F$26, MATCH($C73, Seuils_CaR_et_PSS!$C$17:$C$26,0), 2),"Oui","Non")),
"NC")</f>
        <v>NC</v>
      </c>
      <c r="AS73" s="82" t="str">
        <f>IF(AN73="Categorie_1",
IF(AND($C$23="Oui",AL73&lt;='Matrices aides'!$D$85),"Oui",
IF(AND($C$23="Oui",AL73&gt;'Matrices aides'!$D$85),"Non",
IF(AL73&lt;INDEX(Seuils_CaR_et_PSS!$C$17:$F$26,MATCH($C73,Seuils_CaR_et_PSS!$C$17:$C$26,0),3),"Oui", "Non"))),
"NC")</f>
        <v>NC</v>
      </c>
      <c r="AT73" s="82" t="str">
        <f>IF(AN73="Categorie_1",
IF(AM73="NC","NC",IF(AM73&lt;'Matrices aides'!$D$23,"Non","Oui")),
"NC")</f>
        <v>NC</v>
      </c>
      <c r="AU73" s="82" t="str">
        <f>IF(AS73="Non","Réduit",IF(AT73="Non",
IF(AND(C73=Seuils_CaR_et_PSS!$C$15,AR73="Oui"),"Bonifié","Réduit"),
IF(AR73="Non",IF(AND(C73=Seuils_CaR_et_PSS!$C$15,AM73&gt;='Matrices aides'!$D$23),"Bonifié","Réduit"),"Bonifié")))</f>
        <v>Bonifié</v>
      </c>
      <c r="AV73" s="82">
        <f t="shared" si="29"/>
        <v>0</v>
      </c>
      <c r="AW73" s="82" t="e">
        <f t="shared" si="30"/>
        <v>#N/A</v>
      </c>
      <c r="AY73" s="13"/>
    </row>
    <row r="74" spans="1:51" ht="50.15" customHeight="1" x14ac:dyDescent="0.35">
      <c r="A74" s="22">
        <v>4</v>
      </c>
      <c r="B74" s="30"/>
      <c r="C74" s="30"/>
      <c r="D74" s="90" t="s">
        <v>73</v>
      </c>
      <c r="E74" s="89"/>
      <c r="F74" s="31" t="str">
        <f>IF(B74="", "",
IF(B74="Catégorie 1 : Machines d’exploitation et de sylviculture couramment utilisées", "Veuillez préciser","Neuf"))</f>
        <v/>
      </c>
      <c r="G74" s="33"/>
      <c r="H74" s="86"/>
      <c r="I74" s="32"/>
      <c r="J74" s="34"/>
      <c r="K74" s="34"/>
      <c r="L74" s="32"/>
      <c r="M74" s="34"/>
      <c r="N74" s="35"/>
      <c r="O74" s="36"/>
      <c r="P74" s="32"/>
      <c r="Q74" s="34"/>
      <c r="R74" s="35"/>
      <c r="S74" s="36"/>
      <c r="T74" s="36"/>
      <c r="U74" s="36"/>
      <c r="V74" s="36"/>
      <c r="W74" s="36"/>
      <c r="X74" s="97" t="str">
        <f t="shared" si="19"/>
        <v/>
      </c>
      <c r="Y74" s="45"/>
      <c r="Z74" s="96" t="str">
        <f t="shared" si="20"/>
        <v/>
      </c>
      <c r="AA74" s="27">
        <f>Plafonds_dépenses_éligibles!$F$29</f>
        <v>300000</v>
      </c>
      <c r="AB74" s="27" t="str">
        <f>Plafonds_dépenses_éligibles!$E$29</f>
        <v>Par équipement</v>
      </c>
      <c r="AC74" s="81" t="str">
        <f>IF(B74="", "NC",
IF(NOT(AN74="Categorie_1"),
IF(AV74= "TPE /PME", 'Matrices aides'!$D$9, 'Matrices aides'!$E$9),
IF(AQ74="NC", "NC",
IF(AQ74="Non", 0,
INDEX('Matrices aides'!$B$25:$E$27, MATCH(AU74, 'Matrices aides'!$B$25:$B$27, 0), MATCH(AV74, 'Matrices aides'!$B$25:$E$25, 0))+30%*IF(AW74="Oui", 1, 0)+10%))))</f>
        <v>NC</v>
      </c>
      <c r="AD74" s="81" t="str">
        <f t="shared" si="21"/>
        <v>NC</v>
      </c>
      <c r="AE74" s="28" t="str">
        <f t="shared" si="22"/>
        <v>Veuillez renseigner correctement les parties 1 à 2 et les cases bleues</v>
      </c>
      <c r="AF74" s="26" t="str">
        <f>IF(AK74="NC", "", CONCATENATE(ROUND(AK74,2)," t/roue."))</f>
        <v/>
      </c>
      <c r="AG74" s="26" t="str">
        <f>IF(NOT(OR(AN74="Categorie_1",C74="Robot de plantation")),"",
IF(AK74="NC","NC",
IF(AR74="Oui","Faible impact",IF(AK74&gt;'Matrices aides'!$D$17,"Impact trop élevé","Impact modéré"))))</f>
        <v/>
      </c>
      <c r="AH74" s="26" t="str">
        <f>IF(AL74="NC", "",
IF(AL74=0, "NC",
CONCATENATE(ROUND(AL74,2)," kg/cm².")))</f>
        <v/>
      </c>
      <c r="AI74" s="37" t="str">
        <f>IF(NOT(OR(AN74="Categorie_1",C74="Robot de plantation")),"",
IF(AH74="NC","NC",
IF(AS74="Oui","Faible impact",IF(AL74&gt;'Matrices aides'!$D$21,"Impact trop élevé","Impact modéré"))))</f>
        <v/>
      </c>
      <c r="AK74" s="83" t="str">
        <f t="shared" si="23"/>
        <v>NC</v>
      </c>
      <c r="AL74" s="83" t="str">
        <f t="shared" si="24"/>
        <v>NC</v>
      </c>
      <c r="AM74" s="84" t="str">
        <f t="shared" si="25"/>
        <v>NC</v>
      </c>
      <c r="AN74" s="82" t="str">
        <f t="shared" si="26"/>
        <v>Categorie_</v>
      </c>
      <c r="AO74" s="82" t="str">
        <f t="shared" si="27"/>
        <v>Non</v>
      </c>
      <c r="AP74" s="82" t="str">
        <f t="shared" si="28"/>
        <v>Non</v>
      </c>
      <c r="AQ74" s="82" t="str">
        <f>IF(B74="", "NC",
IF(NOT(AN74="Categorie_1"), "Oui",
IF(AND(AK74="NC", Mes_investissements!AL74&lt;='Matrices aides'!$D$21), "Oui",
IF(AND(AK74&lt;='Matrices aides'!$D$17, Mes_investissements!AL74&lt;='Matrices aides'!$D$21), "Oui", "Non"))))</f>
        <v>NC</v>
      </c>
      <c r="AR74" s="82" t="str">
        <f>IF(AN74="Categorie_1",
IF(I74="Chenilles", "NC",
IF(AK74&lt; INDEX(Seuils_CaR_et_PSS!$C$17:$F$26, MATCH($C74, Seuils_CaR_et_PSS!$C$17:$C$26,0), 2),"Oui","Non")),
"NC")</f>
        <v>NC</v>
      </c>
      <c r="AS74" s="82" t="str">
        <f>IF(AN74="Categorie_1",
IF(AND($C$23="Oui",AL74&lt;='Matrices aides'!$D$85),"Oui",
IF(AND($C$23="Oui",AL74&gt;'Matrices aides'!$D$85),"Non",
IF(AL74&lt;INDEX(Seuils_CaR_et_PSS!$C$17:$F$26,MATCH($C74,Seuils_CaR_et_PSS!$C$17:$C$26,0),3),"Oui", "Non"))),
"NC")</f>
        <v>NC</v>
      </c>
      <c r="AT74" s="82" t="str">
        <f>IF(AN74="Categorie_1",
IF(AM74="NC","NC",IF(AM74&lt;'Matrices aides'!$D$23,"Non","Oui")),
"NC")</f>
        <v>NC</v>
      </c>
      <c r="AU74" s="82" t="str">
        <f>IF(AS74="Non","Réduit",IF(AT74="Non",
IF(AND(C74=Seuils_CaR_et_PSS!$C$15,AR74="Oui"),"Bonifié","Réduit"),
IF(AR74="Non",IF(AND(C74=Seuils_CaR_et_PSS!$C$15,AM74&gt;='Matrices aides'!$D$23),"Bonifié","Réduit"),"Bonifié")))</f>
        <v>Bonifié</v>
      </c>
      <c r="AV74" s="82">
        <f t="shared" si="29"/>
        <v>0</v>
      </c>
      <c r="AW74" s="82" t="e">
        <f t="shared" si="30"/>
        <v>#N/A</v>
      </c>
      <c r="AY74" s="13"/>
    </row>
  </sheetData>
  <sheetProtection selectLockedCells="1"/>
  <protectedRanges>
    <protectedRange algorithmName="SHA-512" hashValue="UKr2PsF44rKslxx/M7785B7y6J2mQsk/OxBaQm3O1HWCo6mRQbeiPiOdFwo3mUYNcPA+GvnlcvvZqmBkn8yUoQ==" saltValue="E/jAOEptAi4XBEUGlyUT6g==" spinCount="100000" sqref="AE70:AP70 AA70:AD74 AE43:AP43 AF71:AP74 AR43:AU63 AR70:AU74 AF44:AP63 AA43:AD63" name="Plage2"/>
    <protectedRange algorithmName="SHA-512" hashValue="UKr2PsF44rKslxx/M7785B7y6J2mQsk/OxBaQm3O1HWCo6mRQbeiPiOdFwo3mUYNcPA+GvnlcvvZqmBkn8yUoQ==" saltValue="E/jAOEptAi4XBEUGlyUT6g==" spinCount="100000" sqref="AE71:AE74 AE44:AE63" name="Plage2_1"/>
    <protectedRange algorithmName="SHA-512" hashValue="AaeNBxiJr050GWp04VmwvpvhzVQYhSE5omlVzYmfwZ/PKSyyZclgnQvb/goWOCJz8ir2h5wSgbwg9VudssYq3A==" saltValue="vL5J9kr4meSLYlgecQii1g==" spinCount="100000" sqref="D7:F8" name="Plage1"/>
  </protectedRanges>
  <mergeCells count="29">
    <mergeCell ref="B67:F67"/>
    <mergeCell ref="B2:F2"/>
    <mergeCell ref="B69:AI69"/>
    <mergeCell ref="B6:F6"/>
    <mergeCell ref="B28:C28"/>
    <mergeCell ref="B7:C7"/>
    <mergeCell ref="B8:C8"/>
    <mergeCell ref="B13:F13"/>
    <mergeCell ref="D21:G21"/>
    <mergeCell ref="D19:G19"/>
    <mergeCell ref="D17:G17"/>
    <mergeCell ref="D18:G18"/>
    <mergeCell ref="D20:G20"/>
    <mergeCell ref="B27:C27"/>
    <mergeCell ref="G8:K8"/>
    <mergeCell ref="B42:AI42"/>
    <mergeCell ref="B34:F34"/>
    <mergeCell ref="B36:F36"/>
    <mergeCell ref="B38:F38"/>
    <mergeCell ref="B10:C10"/>
    <mergeCell ref="E10:I10"/>
    <mergeCell ref="B11:C11"/>
    <mergeCell ref="E11:I11"/>
    <mergeCell ref="E27:I27"/>
    <mergeCell ref="E28:I28"/>
    <mergeCell ref="B29:C29"/>
    <mergeCell ref="E29:I29"/>
    <mergeCell ref="B30:C30"/>
    <mergeCell ref="E30:I30"/>
  </mergeCells>
  <conditionalFormatting sqref="E71:W74 C71:C74">
    <cfRule type="expression" dxfId="25" priority="21" stopIfTrue="1">
      <formula>ISBLANK($B71)</formula>
    </cfRule>
  </conditionalFormatting>
  <conditionalFormatting sqref="E44:Z63 C44:C63">
    <cfRule type="expression" dxfId="24" priority="42" stopIfTrue="1">
      <formula>ISBLANK($B44)</formula>
    </cfRule>
  </conditionalFormatting>
  <conditionalFormatting sqref="F71:F72">
    <cfRule type="expression" dxfId="23" priority="8" stopIfTrue="1">
      <formula>OR($B71="Catégorie 2 : Dispositifs alternatifs de débardage garantissant un respect des sols optimal",$B71="Catégorie 3 : Equipements divers ",$B71="Catégorie 4 : Outils et logiciels numériques et de cartographie",AND($B71="Catégorie 5 : Matériel de plantation et de préparation et entretien des parcelles renouvelées ",$C71&lt;&gt;"Robot de plantation"))</formula>
    </cfRule>
  </conditionalFormatting>
  <conditionalFormatting sqref="F71:W71">
    <cfRule type="expression" dxfId="22" priority="22" stopIfTrue="1">
      <formula>OR($B71="Catégorie 2 : Dispositifs alternatifs de débardage garantissant un respect des sols optimal",$B71="Catégorie 3 : Equipements divers ",$B71="Catégorie 4 : Outils et logiciels numériques et de cartographie",AND($B71="Catégorie 5 : Matériel de plantation et de préparation et entretien des parcelles renouvelées ",$C71&lt;&gt;"Robot de plantation"))</formula>
    </cfRule>
  </conditionalFormatting>
  <conditionalFormatting sqref="F72:W74">
    <cfRule type="expression" dxfId="21" priority="9" stopIfTrue="1">
      <formula>OR($B72="Catégorie 2 : Dispositifs alternatifs de débardage garantissant un respect des sols optimal",$B72="Catégorie 3 : Equipements divers ",$B72="Catégorie 4 : Outils et logiciels numériques et de cartographie",AND($B72="Catégorie 5 : Matériel de plantation et de préparation et entretien des parcelles renouvelées ",$C72&lt;&gt;"Robot de plantation"))</formula>
    </cfRule>
  </conditionalFormatting>
  <conditionalFormatting sqref="H44:H63">
    <cfRule type="expression" dxfId="20" priority="45" stopIfTrue="1">
      <formula>$C44="Porteur forestier"</formula>
    </cfRule>
  </conditionalFormatting>
  <conditionalFormatting sqref="H71:H74">
    <cfRule type="expression" dxfId="19" priority="23" stopIfTrue="1">
      <formula>$C71="Porteur forestier"</formula>
    </cfRule>
  </conditionalFormatting>
  <conditionalFormatting sqref="J44:K63">
    <cfRule type="expression" dxfId="18" priority="49" stopIfTrue="1">
      <formula>$I44="Roues"</formula>
    </cfRule>
  </conditionalFormatting>
  <conditionalFormatting sqref="J71:K71">
    <cfRule type="expression" dxfId="17" priority="26" stopIfTrue="1">
      <formula>$I71="Roues"</formula>
    </cfRule>
  </conditionalFormatting>
  <conditionalFormatting sqref="J72:K74">
    <cfRule type="expression" dxfId="16" priority="12" stopIfTrue="1">
      <formula>$I72="Roues"</formula>
    </cfRule>
  </conditionalFormatting>
  <conditionalFormatting sqref="J44:W63">
    <cfRule type="expression" dxfId="15" priority="46" stopIfTrue="1">
      <formula>ISBLANK($I44)</formula>
    </cfRule>
  </conditionalFormatting>
  <conditionalFormatting sqref="J71:W71">
    <cfRule type="expression" dxfId="14" priority="24" stopIfTrue="1">
      <formula>ISBLANK($I71)</formula>
    </cfRule>
  </conditionalFormatting>
  <conditionalFormatting sqref="J72:W74">
    <cfRule type="expression" dxfId="13" priority="10" stopIfTrue="1">
      <formula>ISBLANK($I72)</formula>
    </cfRule>
  </conditionalFormatting>
  <conditionalFormatting sqref="L44:W63">
    <cfRule type="expression" dxfId="12" priority="47" stopIfTrue="1">
      <formula>$I44="Chenilles"</formula>
    </cfRule>
  </conditionalFormatting>
  <conditionalFormatting sqref="L71:W71">
    <cfRule type="expression" dxfId="11" priority="25" stopIfTrue="1">
      <formula>$I71="Chenilles"</formula>
    </cfRule>
  </conditionalFormatting>
  <conditionalFormatting sqref="L72:W74">
    <cfRule type="expression" dxfId="10" priority="11" stopIfTrue="1">
      <formula>$I72="Chenilles"</formula>
    </cfRule>
  </conditionalFormatting>
  <conditionalFormatting sqref="T44:W63">
    <cfRule type="expression" dxfId="9" priority="4" stopIfTrue="1">
      <formula>OR($C44="Ensemble tracteur forestier + remorque forestière avec ranchers + grue ", $C44="Remorque forestière avec grue et ranchers")</formula>
    </cfRule>
  </conditionalFormatting>
  <conditionalFormatting sqref="X44:X63">
    <cfRule type="expression" dxfId="8" priority="44" stopIfTrue="1">
      <formula>$B44="Catégorie 1 : Machines d’exploitation et de sylviculture couramment utilisées"</formula>
    </cfRule>
  </conditionalFormatting>
  <conditionalFormatting sqref="X71:X74">
    <cfRule type="expression" dxfId="7" priority="2" stopIfTrue="1">
      <formula>$B71="Catégorie 1 : Machines d’exploitation et de sylviculture couramment utilisées"</formula>
    </cfRule>
  </conditionalFormatting>
  <conditionalFormatting sqref="X71:Z74">
    <cfRule type="expression" dxfId="6" priority="1" stopIfTrue="1">
      <formula>ISBLANK($B71)</formula>
    </cfRule>
  </conditionalFormatting>
  <conditionalFormatting sqref="AF71:AI74">
    <cfRule type="expression" dxfId="5" priority="5" stopIfTrue="1">
      <formula>OR($B71="Catégorie 2 : Dispositifs alternatifs de débardage garantissant un respect des sols optimal",$B71="Catégorie 3 : Equipements divers ",$B71="Catégorie 4 : Outils et logiciels numériques et de cartographie",AND($B71="Catégorie 5 : Matériel de plantation et de préparation et entretien des parcelles renouvelées ",$C71&lt;&gt;"Robot de plantation"))</formula>
    </cfRule>
  </conditionalFormatting>
  <dataValidations count="8">
    <dataValidation type="list" allowBlank="1" showInputMessage="1" showErrorMessage="1" sqref="B71:B74 B44:B63" xr:uid="{7B6C01EB-7464-4CA6-BDA6-3746CDC05198}">
      <formula1>Catégories</formula1>
    </dataValidation>
    <dataValidation type="list" allowBlank="1" showInputMessage="1" showErrorMessage="1" sqref="F44:F63 F71:F74" xr:uid="{4BB402D8-D533-4E5C-8099-ACC60AE82733}">
      <formula1>Occasion_?</formula1>
    </dataValidation>
    <dataValidation type="list" allowBlank="1" showInputMessage="1" showErrorMessage="1" sqref="I71:I74 I44:I63" xr:uid="{FCB398E5-A8D0-4B16-AD2E-3C197B84A337}">
      <formula1>Roues_?</formula1>
    </dataValidation>
    <dataValidation type="list" allowBlank="1" showInputMessage="1" showErrorMessage="1" sqref="C21" xr:uid="{F4277C07-DFD5-427C-9B82-B4335523E415}">
      <formula1>Départements</formula1>
    </dataValidation>
    <dataValidation type="list" allowBlank="1" showInputMessage="1" showErrorMessage="1" sqref="C19" xr:uid="{44A7ED58-F0DB-44C1-A4B2-3945C7BF9A9D}">
      <formula1>Type_entreprise</formula1>
    </dataValidation>
    <dataValidation type="list" allowBlank="1" showInputMessage="1" showErrorMessage="1" sqref="C71:C74 C44:C63" xr:uid="{451831AE-722D-41FC-B80B-C991DF3DD667}">
      <formula1>INDIRECT($AN44)</formula1>
    </dataValidation>
    <dataValidation type="list" allowBlank="1" showInputMessage="1" showErrorMessage="1" sqref="D27 D30" xr:uid="{71DBA129-F547-4C1F-AF00-B537E985A9AB}">
      <formula1>Oui_?</formula1>
    </dataValidation>
    <dataValidation type="list" allowBlank="1" showInputMessage="1" showErrorMessage="1" sqref="D28:D29" xr:uid="{26FF695F-E55B-4459-A014-9BEFE8325BCB}">
      <formula1>"Oui, Non, Non concerné"</formula1>
    </dataValidation>
  </dataValidations>
  <pageMargins left="0.70000000000000007" right="0.70000000000000007" top="0.75" bottom="0.75" header="0.30000000000000004" footer="0.30000000000000004"/>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4228-CAF5-4FF7-80E9-0F81ED1A936E}">
  <sheetPr codeName="Feuil3">
    <tabColor theme="6"/>
  </sheetPr>
  <dimension ref="B2:F35"/>
  <sheetViews>
    <sheetView topLeftCell="A28" zoomScaleNormal="100" workbookViewId="0">
      <selection activeCell="C8" sqref="C8"/>
    </sheetView>
  </sheetViews>
  <sheetFormatPr baseColWidth="10" defaultColWidth="11.453125" defaultRowHeight="14.5" x14ac:dyDescent="0.35"/>
  <cols>
    <col min="1" max="1" width="11.453125" style="41"/>
    <col min="2" max="2" width="17.54296875" style="41" customWidth="1"/>
    <col min="3" max="4" width="81.453125" style="42" customWidth="1"/>
    <col min="5" max="5" width="26.54296875" style="1" customWidth="1"/>
    <col min="6" max="6" width="50.1796875" style="40" customWidth="1"/>
    <col min="7" max="16384" width="11.453125" style="41"/>
  </cols>
  <sheetData>
    <row r="2" spans="2:6" ht="29" x14ac:dyDescent="0.35">
      <c r="B2" s="43" t="s">
        <v>61</v>
      </c>
      <c r="C2" s="43" t="s">
        <v>74</v>
      </c>
      <c r="D2" s="74" t="s">
        <v>33</v>
      </c>
      <c r="E2" s="46" t="s">
        <v>75</v>
      </c>
      <c r="F2" s="43" t="s">
        <v>76</v>
      </c>
    </row>
    <row r="3" spans="2:6" s="42" customFormat="1" x14ac:dyDescent="0.35">
      <c r="B3" s="98">
        <v>1</v>
      </c>
      <c r="C3" s="99" t="s">
        <v>77</v>
      </c>
      <c r="D3" s="99" t="s">
        <v>78</v>
      </c>
      <c r="E3" s="99" t="s">
        <v>79</v>
      </c>
      <c r="F3" s="100">
        <v>550000</v>
      </c>
    </row>
    <row r="4" spans="2:6" s="42" customFormat="1" x14ac:dyDescent="0.35">
      <c r="B4" s="98">
        <v>1</v>
      </c>
      <c r="C4" s="101" t="s">
        <v>80</v>
      </c>
      <c r="D4" s="101" t="s">
        <v>78</v>
      </c>
      <c r="E4" s="99" t="s">
        <v>79</v>
      </c>
      <c r="F4" s="100">
        <v>350000</v>
      </c>
    </row>
    <row r="5" spans="2:6" s="42" customFormat="1" x14ac:dyDescent="0.35">
      <c r="B5" s="98">
        <v>1</v>
      </c>
      <c r="C5" s="101" t="s">
        <v>81</v>
      </c>
      <c r="D5" s="101"/>
      <c r="E5" s="99" t="s">
        <v>79</v>
      </c>
      <c r="F5" s="100">
        <v>400000</v>
      </c>
    </row>
    <row r="6" spans="2:6" s="42" customFormat="1" ht="43.5" x14ac:dyDescent="0.35">
      <c r="B6" s="98">
        <v>1</v>
      </c>
      <c r="C6" s="101" t="s">
        <v>82</v>
      </c>
      <c r="D6" s="101" t="s">
        <v>83</v>
      </c>
      <c r="E6" s="99" t="s">
        <v>79</v>
      </c>
      <c r="F6" s="100">
        <v>200000</v>
      </c>
    </row>
    <row r="7" spans="2:6" s="42" customFormat="1" ht="29" x14ac:dyDescent="0.35">
      <c r="B7" s="98">
        <v>1</v>
      </c>
      <c r="C7" s="101" t="s">
        <v>84</v>
      </c>
      <c r="D7" s="101" t="s">
        <v>85</v>
      </c>
      <c r="E7" s="99" t="s">
        <v>79</v>
      </c>
      <c r="F7" s="100">
        <v>280000</v>
      </c>
    </row>
    <row r="8" spans="2:6" s="42" customFormat="1" ht="29" x14ac:dyDescent="0.35">
      <c r="B8" s="98">
        <v>1</v>
      </c>
      <c r="C8" s="101" t="s">
        <v>86</v>
      </c>
      <c r="D8" s="101" t="s">
        <v>85</v>
      </c>
      <c r="E8" s="99" t="s">
        <v>79</v>
      </c>
      <c r="F8" s="100">
        <v>350000</v>
      </c>
    </row>
    <row r="9" spans="2:6" s="42" customFormat="1" ht="29" x14ac:dyDescent="0.35">
      <c r="B9" s="98">
        <v>1</v>
      </c>
      <c r="C9" s="101" t="s">
        <v>87</v>
      </c>
      <c r="D9" s="101" t="s">
        <v>88</v>
      </c>
      <c r="E9" s="99" t="s">
        <v>79</v>
      </c>
      <c r="F9" s="100">
        <v>60000</v>
      </c>
    </row>
    <row r="10" spans="2:6" s="42" customFormat="1" x14ac:dyDescent="0.35">
      <c r="B10" s="98">
        <v>1</v>
      </c>
      <c r="C10" s="101" t="s">
        <v>89</v>
      </c>
      <c r="D10" s="101" t="s">
        <v>90</v>
      </c>
      <c r="E10" s="99" t="s">
        <v>79</v>
      </c>
      <c r="F10" s="100">
        <v>180000</v>
      </c>
    </row>
    <row r="11" spans="2:6" s="42" customFormat="1" ht="29" x14ac:dyDescent="0.35">
      <c r="B11" s="98">
        <v>1</v>
      </c>
      <c r="C11" s="101" t="s">
        <v>91</v>
      </c>
      <c r="D11" s="101" t="s">
        <v>92</v>
      </c>
      <c r="E11" s="99" t="s">
        <v>79</v>
      </c>
      <c r="F11" s="100">
        <v>400000</v>
      </c>
    </row>
    <row r="12" spans="2:6" s="42" customFormat="1" ht="29" x14ac:dyDescent="0.35">
      <c r="B12" s="79">
        <v>2</v>
      </c>
      <c r="C12" s="44" t="s">
        <v>93</v>
      </c>
      <c r="D12" s="44"/>
      <c r="E12" s="39" t="s">
        <v>94</v>
      </c>
      <c r="F12" s="47">
        <v>500000</v>
      </c>
    </row>
    <row r="13" spans="2:6" s="42" customFormat="1" ht="27.75" customHeight="1" x14ac:dyDescent="0.35">
      <c r="B13" s="79">
        <v>2</v>
      </c>
      <c r="C13" s="44" t="s">
        <v>95</v>
      </c>
      <c r="D13" s="44" t="s">
        <v>96</v>
      </c>
      <c r="E13" s="39" t="s">
        <v>94</v>
      </c>
      <c r="F13" s="47">
        <v>100000</v>
      </c>
    </row>
    <row r="14" spans="2:6" s="42" customFormat="1" x14ac:dyDescent="0.35">
      <c r="B14" s="79">
        <v>2</v>
      </c>
      <c r="C14" s="44" t="s">
        <v>97</v>
      </c>
      <c r="D14" s="44"/>
      <c r="E14" s="39" t="s">
        <v>94</v>
      </c>
      <c r="F14" s="47">
        <v>50000</v>
      </c>
    </row>
    <row r="15" spans="2:6" s="42" customFormat="1" ht="58" x14ac:dyDescent="0.35">
      <c r="B15" s="98">
        <v>3</v>
      </c>
      <c r="C15" s="101" t="s">
        <v>98</v>
      </c>
      <c r="D15" s="101" t="s">
        <v>99</v>
      </c>
      <c r="E15" s="99" t="s">
        <v>94</v>
      </c>
      <c r="F15" s="100">
        <v>20000</v>
      </c>
    </row>
    <row r="16" spans="2:6" s="42" customFormat="1" ht="29" x14ac:dyDescent="0.35">
      <c r="B16" s="98">
        <v>3</v>
      </c>
      <c r="C16" s="101" t="s">
        <v>100</v>
      </c>
      <c r="D16" s="101" t="s">
        <v>101</v>
      </c>
      <c r="E16" s="99" t="s">
        <v>79</v>
      </c>
      <c r="F16" s="100">
        <v>60000</v>
      </c>
    </row>
    <row r="17" spans="2:6" s="42" customFormat="1" x14ac:dyDescent="0.35">
      <c r="B17" s="98">
        <v>3</v>
      </c>
      <c r="C17" s="101" t="s">
        <v>102</v>
      </c>
      <c r="D17" s="101"/>
      <c r="E17" s="99" t="s">
        <v>79</v>
      </c>
      <c r="F17" s="100">
        <v>15000</v>
      </c>
    </row>
    <row r="18" spans="2:6" s="42" customFormat="1" x14ac:dyDescent="0.35">
      <c r="B18" s="98">
        <v>3</v>
      </c>
      <c r="C18" s="101" t="s">
        <v>103</v>
      </c>
      <c r="D18" s="101"/>
      <c r="E18" s="99" t="s">
        <v>79</v>
      </c>
      <c r="F18" s="100">
        <v>35000</v>
      </c>
    </row>
    <row r="19" spans="2:6" s="42" customFormat="1" x14ac:dyDescent="0.35">
      <c r="B19" s="98">
        <v>3</v>
      </c>
      <c r="C19" s="101" t="s">
        <v>104</v>
      </c>
      <c r="D19" s="101"/>
      <c r="E19" s="99" t="s">
        <v>79</v>
      </c>
      <c r="F19" s="100">
        <v>250000</v>
      </c>
    </row>
    <row r="20" spans="2:6" s="42" customFormat="1" x14ac:dyDescent="0.35">
      <c r="B20" s="98">
        <v>3</v>
      </c>
      <c r="C20" s="101" t="s">
        <v>105</v>
      </c>
      <c r="D20" s="101"/>
      <c r="E20" s="99" t="s">
        <v>79</v>
      </c>
      <c r="F20" s="100">
        <v>100000</v>
      </c>
    </row>
    <row r="21" spans="2:6" s="42" customFormat="1" x14ac:dyDescent="0.35">
      <c r="B21" s="98">
        <v>3</v>
      </c>
      <c r="C21" s="101" t="s">
        <v>106</v>
      </c>
      <c r="D21" s="101" t="s">
        <v>107</v>
      </c>
      <c r="E21" s="99" t="s">
        <v>79</v>
      </c>
      <c r="F21" s="100">
        <v>110000</v>
      </c>
    </row>
    <row r="22" spans="2:6" s="42" customFormat="1" x14ac:dyDescent="0.35">
      <c r="B22" s="98">
        <v>3</v>
      </c>
      <c r="C22" s="101" t="s">
        <v>108</v>
      </c>
      <c r="D22" s="101" t="s">
        <v>109</v>
      </c>
      <c r="E22" s="99" t="s">
        <v>79</v>
      </c>
      <c r="F22" s="100">
        <v>10000</v>
      </c>
    </row>
    <row r="23" spans="2:6" s="42" customFormat="1" x14ac:dyDescent="0.35">
      <c r="B23" s="79">
        <v>3</v>
      </c>
      <c r="C23" s="44" t="s">
        <v>110</v>
      </c>
      <c r="D23" s="44"/>
      <c r="E23" s="39" t="s">
        <v>79</v>
      </c>
      <c r="F23" s="47">
        <v>25000</v>
      </c>
    </row>
    <row r="24" spans="2:6" s="42" customFormat="1" ht="29" x14ac:dyDescent="0.35">
      <c r="B24" s="79">
        <v>4</v>
      </c>
      <c r="C24" s="44" t="s">
        <v>111</v>
      </c>
      <c r="D24" s="44" t="s">
        <v>112</v>
      </c>
      <c r="E24" s="39" t="s">
        <v>94</v>
      </c>
      <c r="F24" s="47">
        <v>30000</v>
      </c>
    </row>
    <row r="25" spans="2:6" s="42" customFormat="1" x14ac:dyDescent="0.35">
      <c r="B25" s="79">
        <v>4</v>
      </c>
      <c r="C25" s="44" t="s">
        <v>113</v>
      </c>
      <c r="D25" s="44"/>
      <c r="E25" s="39" t="s">
        <v>94</v>
      </c>
      <c r="F25" s="47">
        <v>10000</v>
      </c>
    </row>
    <row r="26" spans="2:6" s="42" customFormat="1" x14ac:dyDescent="0.35">
      <c r="B26" s="79">
        <v>4</v>
      </c>
      <c r="C26" s="44" t="s">
        <v>114</v>
      </c>
      <c r="D26" s="44" t="s">
        <v>115</v>
      </c>
      <c r="E26" s="39" t="s">
        <v>94</v>
      </c>
      <c r="F26" s="47">
        <v>20000</v>
      </c>
    </row>
    <row r="27" spans="2:6" s="42" customFormat="1" x14ac:dyDescent="0.35">
      <c r="B27" s="79">
        <v>4</v>
      </c>
      <c r="C27" s="44" t="s">
        <v>116</v>
      </c>
      <c r="D27" s="44"/>
      <c r="E27" s="39" t="s">
        <v>94</v>
      </c>
      <c r="F27" s="47">
        <v>30000</v>
      </c>
    </row>
    <row r="28" spans="2:6" s="42" customFormat="1" x14ac:dyDescent="0.35">
      <c r="B28" s="79">
        <v>4</v>
      </c>
      <c r="C28" s="44" t="s">
        <v>117</v>
      </c>
      <c r="D28" s="44" t="s">
        <v>118</v>
      </c>
      <c r="E28" s="39" t="s">
        <v>94</v>
      </c>
      <c r="F28" s="47">
        <v>50000</v>
      </c>
    </row>
    <row r="29" spans="2:6" s="42" customFormat="1" x14ac:dyDescent="0.35">
      <c r="B29" s="98">
        <v>5</v>
      </c>
      <c r="C29" s="101" t="s">
        <v>119</v>
      </c>
      <c r="D29" s="101"/>
      <c r="E29" s="99" t="s">
        <v>79</v>
      </c>
      <c r="F29" s="100">
        <v>300000</v>
      </c>
    </row>
    <row r="30" spans="2:6" s="42" customFormat="1" x14ac:dyDescent="0.35">
      <c r="B30" s="98">
        <v>5</v>
      </c>
      <c r="C30" s="101" t="s">
        <v>120</v>
      </c>
      <c r="D30" s="101" t="s">
        <v>121</v>
      </c>
      <c r="E30" s="99" t="s">
        <v>94</v>
      </c>
      <c r="F30" s="100">
        <v>10000</v>
      </c>
    </row>
    <row r="31" spans="2:6" s="42" customFormat="1" ht="43.5" x14ac:dyDescent="0.35">
      <c r="B31" s="98">
        <v>5</v>
      </c>
      <c r="C31" s="101" t="s">
        <v>122</v>
      </c>
      <c r="D31" s="101" t="s">
        <v>123</v>
      </c>
      <c r="E31" s="99" t="s">
        <v>94</v>
      </c>
      <c r="F31" s="100">
        <v>100000</v>
      </c>
    </row>
    <row r="32" spans="2:6" s="42" customFormat="1" ht="29" x14ac:dyDescent="0.35">
      <c r="B32" s="98">
        <v>5</v>
      </c>
      <c r="C32" s="101" t="s">
        <v>124</v>
      </c>
      <c r="D32" s="101"/>
      <c r="E32" s="99" t="s">
        <v>79</v>
      </c>
      <c r="F32" s="100">
        <v>150000</v>
      </c>
    </row>
    <row r="33" spans="2:6" s="42" customFormat="1" x14ac:dyDescent="0.35">
      <c r="B33" s="98">
        <v>5</v>
      </c>
      <c r="C33" s="101" t="s">
        <v>125</v>
      </c>
      <c r="D33" s="101"/>
      <c r="E33" s="99" t="s">
        <v>79</v>
      </c>
      <c r="F33" s="100">
        <v>10000</v>
      </c>
    </row>
    <row r="34" spans="2:6" s="42" customFormat="1" x14ac:dyDescent="0.35">
      <c r="B34" s="98">
        <v>5</v>
      </c>
      <c r="C34" s="101" t="s">
        <v>126</v>
      </c>
      <c r="D34" s="101" t="s">
        <v>127</v>
      </c>
      <c r="E34" s="99" t="s">
        <v>94</v>
      </c>
      <c r="F34" s="100">
        <v>5000</v>
      </c>
    </row>
    <row r="35" spans="2:6" s="42" customFormat="1" ht="29" x14ac:dyDescent="0.35">
      <c r="B35" s="98">
        <v>5</v>
      </c>
      <c r="C35" s="101" t="s">
        <v>128</v>
      </c>
      <c r="D35" s="101" t="s">
        <v>129</v>
      </c>
      <c r="E35" s="99" t="s">
        <v>79</v>
      </c>
      <c r="F35" s="100">
        <v>50000</v>
      </c>
    </row>
  </sheetData>
  <sheetProtection algorithmName="SHA-512" hashValue="za7ATxPyQqeAEbdlZutHVrtglcRiRDZrrfA3lPVrd2FvVoJG6hKVMX/dz2fSRCru2gXM0b/R+3VrhyjH0DjCog==" saltValue="VnyEWF2M28A3UhECVT1Ibg==" spinCount="100000" sheet="1" objects="1" scenarios="1"/>
  <conditionalFormatting sqref="F3:F35">
    <cfRule type="expression" dxfId="4" priority="1" stopIfTrue="1">
      <formula>ISBLANK($B3)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C325-6F85-4AD8-BF0F-66584900E18C}">
  <sheetPr codeName="Feuil2">
    <tabColor theme="6"/>
  </sheetPr>
  <dimension ref="A1:BF136"/>
  <sheetViews>
    <sheetView zoomScale="85" zoomScaleNormal="85" workbookViewId="0">
      <selection activeCell="B8" sqref="B8:E9"/>
    </sheetView>
  </sheetViews>
  <sheetFormatPr baseColWidth="10" defaultColWidth="11.453125" defaultRowHeight="14.5" x14ac:dyDescent="0.35"/>
  <cols>
    <col min="1" max="1" width="11.453125" style="55"/>
    <col min="2" max="2" width="13.54296875" style="55" customWidth="1"/>
    <col min="3" max="3" width="20.453125" style="55" customWidth="1"/>
    <col min="4" max="4" width="10.453125" style="55" customWidth="1"/>
    <col min="5" max="7" width="11.453125" style="55"/>
    <col min="8" max="8" width="17.1796875" style="55" customWidth="1"/>
    <col min="9" max="9" width="11.54296875" style="55" customWidth="1"/>
    <col min="10" max="10" width="7.26953125" style="55" customWidth="1"/>
    <col min="11" max="11" width="17.7265625" style="55" customWidth="1"/>
    <col min="12" max="12" width="12.54296875" style="55" customWidth="1"/>
    <col min="13" max="16384" width="11.453125" style="55"/>
  </cols>
  <sheetData>
    <row r="1" spans="2:20" s="56" customFormat="1" x14ac:dyDescent="0.35">
      <c r="B1" s="57" t="s">
        <v>130</v>
      </c>
      <c r="C1" s="115"/>
      <c r="D1" s="115"/>
      <c r="E1" s="115"/>
      <c r="F1" s="115"/>
      <c r="G1" s="115"/>
      <c r="H1" s="115"/>
      <c r="I1" s="115"/>
      <c r="J1" s="115"/>
      <c r="K1" s="115"/>
      <c r="L1" s="115"/>
      <c r="M1" s="115"/>
      <c r="N1" s="115"/>
      <c r="O1" s="115"/>
      <c r="P1" s="115"/>
      <c r="Q1" s="115"/>
      <c r="R1" s="115"/>
      <c r="S1" s="115"/>
      <c r="T1" s="115"/>
    </row>
    <row r="3" spans="2:20" x14ac:dyDescent="0.35">
      <c r="B3" s="63" t="s">
        <v>131</v>
      </c>
      <c r="C3" s="116"/>
      <c r="D3" s="116"/>
      <c r="E3" s="116"/>
      <c r="F3" s="116"/>
      <c r="G3" s="116"/>
      <c r="H3" s="116"/>
      <c r="I3" s="116"/>
      <c r="J3" s="116"/>
      <c r="K3" s="116"/>
      <c r="L3" s="116"/>
      <c r="M3" s="116"/>
      <c r="N3" s="116"/>
      <c r="O3" s="116"/>
      <c r="P3" s="116"/>
      <c r="Q3" s="116"/>
      <c r="R3" s="116"/>
      <c r="S3" s="116"/>
      <c r="T3" s="116"/>
    </row>
    <row r="4" spans="2:20" x14ac:dyDescent="0.35">
      <c r="B4" s="87" t="s">
        <v>132</v>
      </c>
      <c r="C4" s="116"/>
      <c r="D4" s="116"/>
      <c r="E4" s="116"/>
      <c r="F4" s="116"/>
      <c r="G4" s="116"/>
      <c r="H4" s="116"/>
      <c r="I4" s="116"/>
      <c r="J4" s="116"/>
      <c r="K4" s="116"/>
      <c r="L4" s="116"/>
      <c r="M4" s="116"/>
      <c r="N4" s="116"/>
      <c r="O4" s="116"/>
      <c r="P4" s="116"/>
      <c r="Q4" s="116"/>
      <c r="R4" s="116"/>
      <c r="S4" s="116"/>
      <c r="T4" s="116"/>
    </row>
    <row r="6" spans="2:20" s="56" customFormat="1" x14ac:dyDescent="0.35">
      <c r="B6" s="57" t="s">
        <v>133</v>
      </c>
      <c r="C6" s="115"/>
      <c r="D6" s="115"/>
      <c r="E6" s="115"/>
      <c r="F6" s="115"/>
      <c r="G6" s="115"/>
      <c r="H6" s="115"/>
      <c r="I6" s="115"/>
      <c r="J6" s="115"/>
      <c r="K6" s="115"/>
      <c r="L6" s="115"/>
      <c r="M6" s="115"/>
      <c r="N6" s="115"/>
      <c r="O6" s="115"/>
      <c r="P6" s="115"/>
      <c r="Q6" s="115"/>
      <c r="R6" s="115"/>
      <c r="S6" s="115"/>
      <c r="T6" s="115"/>
    </row>
    <row r="8" spans="2:20" x14ac:dyDescent="0.35">
      <c r="B8" s="163" t="s">
        <v>134</v>
      </c>
      <c r="C8" s="164"/>
      <c r="D8" s="50" t="s">
        <v>135</v>
      </c>
      <c r="E8" s="50" t="s">
        <v>136</v>
      </c>
      <c r="F8" s="116"/>
      <c r="G8" s="116"/>
      <c r="H8" s="116"/>
      <c r="I8" s="116"/>
      <c r="J8" s="116"/>
      <c r="K8" s="116"/>
      <c r="L8" s="116"/>
      <c r="M8" s="116"/>
      <c r="N8" s="116"/>
      <c r="O8" s="116"/>
      <c r="P8" s="116"/>
      <c r="Q8" s="116"/>
      <c r="R8" s="116"/>
      <c r="S8" s="116"/>
      <c r="T8" s="116"/>
    </row>
    <row r="9" spans="2:20" x14ac:dyDescent="0.35">
      <c r="B9" s="165" t="s">
        <v>137</v>
      </c>
      <c r="C9" s="166"/>
      <c r="D9" s="62">
        <v>0.5</v>
      </c>
      <c r="E9" s="62">
        <v>0.35</v>
      </c>
      <c r="F9" s="116"/>
      <c r="G9" s="116"/>
      <c r="H9" s="116"/>
      <c r="I9" s="116"/>
      <c r="J9" s="116"/>
      <c r="K9" s="116"/>
      <c r="L9" s="116"/>
      <c r="M9" s="116"/>
      <c r="N9" s="116"/>
      <c r="O9" s="116"/>
      <c r="P9" s="116"/>
      <c r="Q9" s="116"/>
      <c r="R9" s="116"/>
      <c r="S9" s="116"/>
      <c r="T9" s="116"/>
    </row>
    <row r="11" spans="2:20" s="56" customFormat="1" x14ac:dyDescent="0.35">
      <c r="B11" s="57" t="s">
        <v>138</v>
      </c>
      <c r="C11" s="115"/>
      <c r="D11" s="115"/>
      <c r="E11" s="115"/>
      <c r="F11" s="115"/>
      <c r="G11" s="115"/>
      <c r="H11" s="115"/>
      <c r="I11" s="115"/>
      <c r="J11" s="115"/>
      <c r="K11" s="115"/>
      <c r="L11" s="115"/>
      <c r="M11" s="115"/>
      <c r="N11" s="115"/>
      <c r="O11" s="115"/>
      <c r="P11" s="115"/>
      <c r="Q11" s="115"/>
      <c r="R11" s="115"/>
      <c r="S11" s="115"/>
      <c r="T11" s="115"/>
    </row>
    <row r="13" spans="2:20" ht="15" customHeight="1" x14ac:dyDescent="0.35">
      <c r="B13" s="52" t="s">
        <v>139</v>
      </c>
      <c r="C13" s="52"/>
      <c r="D13" s="62">
        <f>30%</f>
        <v>0.3</v>
      </c>
      <c r="E13" s="116"/>
      <c r="F13" s="116"/>
      <c r="G13" s="116"/>
      <c r="H13" s="116"/>
      <c r="I13" s="116"/>
      <c r="J13" s="116"/>
      <c r="K13" s="116"/>
      <c r="L13" s="116"/>
      <c r="M13" s="116"/>
      <c r="N13" s="116"/>
      <c r="O13" s="116"/>
      <c r="P13" s="116"/>
      <c r="Q13" s="116"/>
      <c r="R13" s="116"/>
      <c r="S13" s="116"/>
      <c r="T13" s="116"/>
    </row>
    <row r="15" spans="2:20" ht="30.75" customHeight="1" x14ac:dyDescent="0.35">
      <c r="B15" s="179" t="s">
        <v>140</v>
      </c>
      <c r="C15" s="180"/>
      <c r="D15" s="63">
        <v>3.5</v>
      </c>
      <c r="E15" s="116" t="s">
        <v>141</v>
      </c>
      <c r="F15" s="116" t="s">
        <v>142</v>
      </c>
      <c r="G15" s="116"/>
      <c r="H15" s="116"/>
      <c r="I15" s="116"/>
      <c r="J15" s="116"/>
      <c r="K15" s="116"/>
      <c r="L15" s="183" t="s">
        <v>143</v>
      </c>
      <c r="M15" s="183"/>
      <c r="N15" s="183"/>
      <c r="O15" s="183"/>
      <c r="P15" s="116"/>
      <c r="Q15" s="184" t="s">
        <v>144</v>
      </c>
      <c r="R15" s="184"/>
      <c r="S15" s="184"/>
      <c r="T15" s="184"/>
    </row>
    <row r="16" spans="2:20" ht="30.75" customHeight="1" x14ac:dyDescent="0.35">
      <c r="B16" s="179" t="s">
        <v>145</v>
      </c>
      <c r="C16" s="180"/>
      <c r="D16" s="63">
        <v>4</v>
      </c>
      <c r="E16" s="116" t="s">
        <v>141</v>
      </c>
      <c r="F16" s="116" t="s">
        <v>146</v>
      </c>
      <c r="G16" s="116"/>
      <c r="H16" s="116"/>
      <c r="I16" s="116"/>
      <c r="J16" s="116"/>
      <c r="K16" s="116"/>
      <c r="L16" s="170" t="s">
        <v>147</v>
      </c>
      <c r="M16" s="171"/>
      <c r="N16" s="171"/>
      <c r="O16" s="172"/>
      <c r="P16" s="116"/>
      <c r="Q16" s="185" t="s">
        <v>148</v>
      </c>
      <c r="R16" s="186"/>
      <c r="S16" s="186"/>
      <c r="T16" s="187"/>
    </row>
    <row r="17" spans="1:58" ht="15" customHeight="1" x14ac:dyDescent="0.35">
      <c r="A17" s="116"/>
      <c r="B17" s="52" t="s">
        <v>149</v>
      </c>
      <c r="C17" s="52"/>
      <c r="D17" s="63">
        <v>5</v>
      </c>
      <c r="E17" s="116" t="s">
        <v>141</v>
      </c>
      <c r="F17" s="116"/>
      <c r="G17" s="116"/>
      <c r="H17" s="116"/>
      <c r="I17" s="116"/>
      <c r="J17" s="116"/>
      <c r="K17" s="116"/>
      <c r="L17" s="173"/>
      <c r="M17" s="174"/>
      <c r="N17" s="174"/>
      <c r="O17" s="175"/>
      <c r="P17" s="116"/>
      <c r="Q17" s="188"/>
      <c r="R17" s="189"/>
      <c r="S17" s="189"/>
      <c r="T17" s="190"/>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row>
    <row r="18" spans="1:58" x14ac:dyDescent="0.35">
      <c r="A18" s="116"/>
      <c r="B18" s="116"/>
      <c r="C18" s="116"/>
      <c r="D18" s="116"/>
      <c r="E18" s="116"/>
      <c r="F18" s="116"/>
      <c r="G18" s="116"/>
      <c r="H18" s="116"/>
      <c r="I18" s="116"/>
      <c r="J18" s="116"/>
      <c r="K18" s="116"/>
      <c r="L18" s="173"/>
      <c r="M18" s="174"/>
      <c r="N18" s="174"/>
      <c r="O18" s="175"/>
      <c r="P18" s="116"/>
      <c r="Q18" s="188"/>
      <c r="R18" s="189"/>
      <c r="S18" s="189"/>
      <c r="T18" s="190"/>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row>
    <row r="19" spans="1:58" x14ac:dyDescent="0.35">
      <c r="A19" s="116"/>
      <c r="B19" s="179" t="s">
        <v>150</v>
      </c>
      <c r="C19" s="180"/>
      <c r="D19" s="63">
        <v>0.7</v>
      </c>
      <c r="E19" s="116" t="s">
        <v>151</v>
      </c>
      <c r="F19" s="116" t="s">
        <v>152</v>
      </c>
      <c r="G19" s="116"/>
      <c r="H19" s="116"/>
      <c r="I19" s="116"/>
      <c r="J19" s="116"/>
      <c r="K19" s="116"/>
      <c r="L19" s="173"/>
      <c r="M19" s="174"/>
      <c r="N19" s="174"/>
      <c r="O19" s="175"/>
      <c r="P19" s="116"/>
      <c r="Q19" s="188"/>
      <c r="R19" s="189"/>
      <c r="S19" s="189"/>
      <c r="T19" s="190"/>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row>
    <row r="20" spans="1:58" x14ac:dyDescent="0.35">
      <c r="A20" s="116"/>
      <c r="B20" s="179" t="s">
        <v>153</v>
      </c>
      <c r="C20" s="180"/>
      <c r="D20" s="63">
        <v>0.8</v>
      </c>
      <c r="E20" s="116" t="s">
        <v>151</v>
      </c>
      <c r="F20" s="116" t="s">
        <v>154</v>
      </c>
      <c r="G20" s="116"/>
      <c r="H20" s="116"/>
      <c r="I20" s="116"/>
      <c r="J20" s="116"/>
      <c r="K20" s="116"/>
      <c r="L20" s="173"/>
      <c r="M20" s="174"/>
      <c r="N20" s="174"/>
      <c r="O20" s="175"/>
      <c r="P20" s="116"/>
      <c r="Q20" s="188"/>
      <c r="R20" s="189"/>
      <c r="S20" s="189"/>
      <c r="T20" s="190"/>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row>
    <row r="21" spans="1:58" x14ac:dyDescent="0.35">
      <c r="A21" s="116"/>
      <c r="B21" s="165" t="s">
        <v>155</v>
      </c>
      <c r="C21" s="166"/>
      <c r="D21" s="63">
        <v>1</v>
      </c>
      <c r="E21" s="116" t="s">
        <v>151</v>
      </c>
      <c r="F21" s="116"/>
      <c r="G21" s="116"/>
      <c r="H21" s="116"/>
      <c r="I21" s="116"/>
      <c r="J21" s="116"/>
      <c r="K21" s="116"/>
      <c r="L21" s="173"/>
      <c r="M21" s="174"/>
      <c r="N21" s="174"/>
      <c r="O21" s="175"/>
      <c r="P21" s="116"/>
      <c r="Q21" s="188"/>
      <c r="R21" s="189"/>
      <c r="S21" s="189"/>
      <c r="T21" s="190"/>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row>
    <row r="22" spans="1:58" x14ac:dyDescent="0.35">
      <c r="A22" s="116"/>
      <c r="B22" s="116"/>
      <c r="C22" s="116"/>
      <c r="D22" s="116"/>
      <c r="E22" s="116"/>
      <c r="F22" s="116"/>
      <c r="G22" s="116"/>
      <c r="H22" s="116"/>
      <c r="I22" s="116"/>
      <c r="J22" s="116"/>
      <c r="K22" s="116"/>
      <c r="L22" s="173"/>
      <c r="M22" s="174"/>
      <c r="N22" s="174"/>
      <c r="O22" s="175"/>
      <c r="P22" s="116"/>
      <c r="Q22" s="188"/>
      <c r="R22" s="189"/>
      <c r="S22" s="189"/>
      <c r="T22" s="190"/>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row>
    <row r="23" spans="1:58" x14ac:dyDescent="0.35">
      <c r="A23" s="116"/>
      <c r="B23" s="179" t="s">
        <v>156</v>
      </c>
      <c r="C23" s="180"/>
      <c r="D23" s="67">
        <v>700</v>
      </c>
      <c r="E23" s="116" t="s">
        <v>157</v>
      </c>
      <c r="F23" s="116"/>
      <c r="G23" s="116"/>
      <c r="H23" s="116"/>
      <c r="I23" s="116"/>
      <c r="J23" s="116"/>
      <c r="K23" s="116"/>
      <c r="L23" s="173"/>
      <c r="M23" s="174"/>
      <c r="N23" s="174"/>
      <c r="O23" s="175"/>
      <c r="P23" s="116"/>
      <c r="Q23" s="188"/>
      <c r="R23" s="189"/>
      <c r="S23" s="189"/>
      <c r="T23" s="190"/>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row>
    <row r="24" spans="1:58" x14ac:dyDescent="0.35">
      <c r="A24" s="116"/>
      <c r="B24" s="116"/>
      <c r="C24" s="116"/>
      <c r="D24" s="116"/>
      <c r="E24" s="116"/>
      <c r="F24" s="116"/>
      <c r="G24" s="116"/>
      <c r="H24" s="116"/>
      <c r="I24" s="116"/>
      <c r="J24" s="116"/>
      <c r="K24" s="116"/>
      <c r="L24" s="173"/>
      <c r="M24" s="174"/>
      <c r="N24" s="174"/>
      <c r="O24" s="175"/>
      <c r="P24" s="116"/>
      <c r="Q24" s="188"/>
      <c r="R24" s="189"/>
      <c r="S24" s="189"/>
      <c r="T24" s="190"/>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row>
    <row r="25" spans="1:58" x14ac:dyDescent="0.35">
      <c r="A25" s="116"/>
      <c r="B25" s="163" t="s">
        <v>158</v>
      </c>
      <c r="C25" s="164"/>
      <c r="D25" s="50" t="s">
        <v>135</v>
      </c>
      <c r="E25" s="50" t="s">
        <v>136</v>
      </c>
      <c r="F25" s="116"/>
      <c r="G25" s="116"/>
      <c r="H25" s="116"/>
      <c r="I25" s="116"/>
      <c r="J25" s="116"/>
      <c r="K25" s="116"/>
      <c r="L25" s="173"/>
      <c r="M25" s="174"/>
      <c r="N25" s="174"/>
      <c r="O25" s="175"/>
      <c r="P25" s="116"/>
      <c r="Q25" s="188"/>
      <c r="R25" s="189"/>
      <c r="S25" s="189"/>
      <c r="T25" s="190"/>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row>
    <row r="26" spans="1:58" x14ac:dyDescent="0.35">
      <c r="A26" s="116"/>
      <c r="B26" s="165" t="s">
        <v>159</v>
      </c>
      <c r="C26" s="166"/>
      <c r="D26" s="62">
        <v>0.4</v>
      </c>
      <c r="E26" s="62">
        <v>0.25</v>
      </c>
      <c r="F26" s="116"/>
      <c r="G26" s="116"/>
      <c r="H26" s="116"/>
      <c r="I26" s="116"/>
      <c r="J26" s="116"/>
      <c r="K26" s="116"/>
      <c r="L26" s="176"/>
      <c r="M26" s="177"/>
      <c r="N26" s="177"/>
      <c r="O26" s="178"/>
      <c r="P26" s="116"/>
      <c r="Q26" s="191"/>
      <c r="R26" s="192"/>
      <c r="S26" s="192"/>
      <c r="T26" s="193"/>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row>
    <row r="27" spans="1:58" x14ac:dyDescent="0.35">
      <c r="A27" s="116"/>
      <c r="B27" s="165" t="s">
        <v>160</v>
      </c>
      <c r="C27" s="166"/>
      <c r="D27" s="62">
        <v>0.2</v>
      </c>
      <c r="E27" s="62">
        <v>0.15</v>
      </c>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row>
    <row r="29" spans="1:58" s="49" customFormat="1" x14ac:dyDescent="0.35">
      <c r="A29" s="116"/>
      <c r="B29" s="147" t="s">
        <v>161</v>
      </c>
      <c r="C29" s="147"/>
      <c r="D29" s="147"/>
      <c r="E29" s="147"/>
      <c r="F29" s="147"/>
      <c r="G29" s="147"/>
      <c r="H29" s="147"/>
      <c r="I29" s="147"/>
      <c r="J29" s="116"/>
      <c r="K29" s="52" t="s">
        <v>162</v>
      </c>
      <c r="L29" s="65" t="s">
        <v>163</v>
      </c>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row>
    <row r="30" spans="1:58" s="49" customFormat="1" x14ac:dyDescent="0.35">
      <c r="A30" s="116"/>
      <c r="B30" s="181" t="s">
        <v>164</v>
      </c>
      <c r="C30" s="181"/>
      <c r="D30" s="182"/>
      <c r="E30" s="159" t="s">
        <v>165</v>
      </c>
      <c r="F30" s="159"/>
      <c r="G30" s="159"/>
      <c r="H30" s="159"/>
      <c r="I30" s="159"/>
      <c r="J30" s="116"/>
      <c r="K30" s="52" t="s">
        <v>166</v>
      </c>
      <c r="L30" s="65" t="s">
        <v>163</v>
      </c>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row>
    <row r="31" spans="1:58" s="49" customFormat="1" x14ac:dyDescent="0.35">
      <c r="A31" s="116"/>
      <c r="B31" s="181"/>
      <c r="C31" s="181"/>
      <c r="D31" s="182"/>
      <c r="E31" s="160" t="str">
        <f>IF(L29="Non", _xlfn.CONCAT("&lt;", $D$15, " t/roue"), _xlfn.CONCAT("&lt;", $D$16, " t/roue"))</f>
        <v>&lt;3,5 t/roue</v>
      </c>
      <c r="F31" s="160"/>
      <c r="G31" s="160" t="str">
        <f>IF(L29="Non", _xlfn.CONCAT("entre ", $D$15, " et ", $D$17, " t/roue"), _xlfn.CONCAT("entre ", $D$16, " et ", $D$17, " t/roue"))</f>
        <v>entre 3,5 et 5 t/roue</v>
      </c>
      <c r="H31" s="160"/>
      <c r="I31" s="64" t="str">
        <f>_xlfn.CONCAT("&gt;", $D$17, " t/roue")</f>
        <v>&gt;5 t/roue</v>
      </c>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row>
    <row r="32" spans="1:58" s="48" customFormat="1" ht="29" x14ac:dyDescent="0.35">
      <c r="A32" s="117"/>
      <c r="B32" s="182"/>
      <c r="C32" s="182"/>
      <c r="D32" s="182"/>
      <c r="E32" s="54" t="s">
        <v>167</v>
      </c>
      <c r="F32" s="54" t="s">
        <v>168</v>
      </c>
      <c r="G32" s="54" t="s">
        <v>167</v>
      </c>
      <c r="H32" s="54" t="s">
        <v>168</v>
      </c>
      <c r="I32" s="118"/>
      <c r="J32" s="117"/>
      <c r="K32" s="169" t="s">
        <v>169</v>
      </c>
      <c r="L32" s="169"/>
      <c r="M32" s="64" t="str">
        <f>E31</f>
        <v>&lt;3,5 t/roue</v>
      </c>
      <c r="N32" s="64"/>
      <c r="O32" s="64" t="str">
        <f>G31</f>
        <v>entre 3,5 et 5 t/roue</v>
      </c>
      <c r="P32" s="64"/>
      <c r="Q32" s="64" t="str">
        <f>I31</f>
        <v>&gt;5 t/roue</v>
      </c>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row>
    <row r="33" spans="1:58" s="49" customFormat="1" x14ac:dyDescent="0.35">
      <c r="A33" s="116"/>
      <c r="B33" s="158" t="s">
        <v>170</v>
      </c>
      <c r="C33" s="154" t="str">
        <f>IF(L30="Non", _xlfn.CONCAT("&lt;", $D$19, " kg/cm2"), _xlfn.CONCAT("&lt;", $D$20, " kg/cm2"))</f>
        <v>&lt;0,7 kg/cm2</v>
      </c>
      <c r="D33" s="53" t="s">
        <v>135</v>
      </c>
      <c r="E33" s="71">
        <f>IF(M33="Non élig.", 0, INDEX($B$25:$E$27, MATCH(M33, $B$25:$B$27, 0), MATCH($D33, $B$25:$E$25, 0)))</f>
        <v>0.4</v>
      </c>
      <c r="F33" s="119">
        <f>IF(E33=0, 0, E33+$D$13)</f>
        <v>0.7</v>
      </c>
      <c r="G33" s="71">
        <f>IF(O33="Non élig.", 0, INDEX($B$25:$E$27, MATCH(O33, $B$25:$B$27, 0), MATCH($D33, $B$25:$E$25, 0)))</f>
        <v>0.2</v>
      </c>
      <c r="H33" s="119">
        <f>IF(G33=0, 0, G33+$D$13)</f>
        <v>0.5</v>
      </c>
      <c r="I33" s="71">
        <f>IF(Q33="Non élig.", 0, INDEX($B$25:$E$27, MATCH(Q33, $B$25:$B$27, 0), MATCH($D33, $B$25:$E$25, 0)))</f>
        <v>0</v>
      </c>
      <c r="J33" s="116"/>
      <c r="K33" s="167" t="str">
        <f>C33</f>
        <v>&lt;0,7 kg/cm2</v>
      </c>
      <c r="L33" s="53" t="s">
        <v>135</v>
      </c>
      <c r="M33" s="69" t="s">
        <v>159</v>
      </c>
      <c r="N33" s="120"/>
      <c r="O33" s="70" t="s">
        <v>160</v>
      </c>
      <c r="P33" s="120"/>
      <c r="Q33" s="121" t="s">
        <v>171</v>
      </c>
      <c r="R33" s="117"/>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row>
    <row r="34" spans="1:58" s="49" customFormat="1" x14ac:dyDescent="0.35">
      <c r="A34" s="116"/>
      <c r="B34" s="158"/>
      <c r="C34" s="154"/>
      <c r="D34" s="53" t="s">
        <v>136</v>
      </c>
      <c r="E34" s="71">
        <f t="shared" ref="E34:I37" si="0">IF(M34="Non élig.", 0, INDEX($B$25:$E$27, MATCH(M34, $B$25:$B$27, 0), MATCH($D34, $B$25:$E$25, 0)))</f>
        <v>0.25</v>
      </c>
      <c r="F34" s="119">
        <f t="shared" ref="F34:H37" si="1">IF(E34=0, 0, E34+$D$13)</f>
        <v>0.55000000000000004</v>
      </c>
      <c r="G34" s="71">
        <f t="shared" si="0"/>
        <v>0.15</v>
      </c>
      <c r="H34" s="119">
        <f t="shared" si="1"/>
        <v>0.44999999999999996</v>
      </c>
      <c r="I34" s="71">
        <f t="shared" si="0"/>
        <v>0</v>
      </c>
      <c r="J34" s="116"/>
      <c r="K34" s="168"/>
      <c r="L34" s="53" t="s">
        <v>136</v>
      </c>
      <c r="M34" s="69" t="s">
        <v>159</v>
      </c>
      <c r="N34" s="120"/>
      <c r="O34" s="70" t="s">
        <v>160</v>
      </c>
      <c r="P34" s="120"/>
      <c r="Q34" s="121" t="s">
        <v>171</v>
      </c>
      <c r="R34" s="117"/>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row>
    <row r="35" spans="1:58" s="49" customFormat="1" ht="15" customHeight="1" x14ac:dyDescent="0.35">
      <c r="A35" s="116"/>
      <c r="B35" s="158"/>
      <c r="C35" s="154" t="str">
        <f>IF(L30="Non", _xlfn.CONCAT("entre ", $D$19, " et ", $D$21, " kg/cm2"), _xlfn.CONCAT("entre ", $D$20, " et ", $D$21, " kg/cm2"))</f>
        <v>entre 0,7 et 1 kg/cm2</v>
      </c>
      <c r="D35" s="53" t="s">
        <v>135</v>
      </c>
      <c r="E35" s="71">
        <f t="shared" si="0"/>
        <v>0.2</v>
      </c>
      <c r="F35" s="119">
        <f t="shared" si="1"/>
        <v>0.5</v>
      </c>
      <c r="G35" s="71">
        <f t="shared" si="0"/>
        <v>0.2</v>
      </c>
      <c r="H35" s="119">
        <f t="shared" si="1"/>
        <v>0.5</v>
      </c>
      <c r="I35" s="71">
        <f t="shared" si="0"/>
        <v>0</v>
      </c>
      <c r="J35" s="116"/>
      <c r="K35" s="167" t="str">
        <f>C35</f>
        <v>entre 0,7 et 1 kg/cm2</v>
      </c>
      <c r="L35" s="53" t="s">
        <v>135</v>
      </c>
      <c r="M35" s="70" t="s">
        <v>160</v>
      </c>
      <c r="N35" s="120"/>
      <c r="O35" s="70" t="s">
        <v>160</v>
      </c>
      <c r="P35" s="120"/>
      <c r="Q35" s="121" t="s">
        <v>171</v>
      </c>
      <c r="R35" s="117"/>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row>
    <row r="36" spans="1:58" s="49" customFormat="1" x14ac:dyDescent="0.35">
      <c r="A36" s="116"/>
      <c r="B36" s="158"/>
      <c r="C36" s="154"/>
      <c r="D36" s="53" t="s">
        <v>136</v>
      </c>
      <c r="E36" s="71">
        <f t="shared" si="0"/>
        <v>0.15</v>
      </c>
      <c r="F36" s="119">
        <f t="shared" si="1"/>
        <v>0.44999999999999996</v>
      </c>
      <c r="G36" s="71">
        <f t="shared" si="0"/>
        <v>0.15</v>
      </c>
      <c r="H36" s="119">
        <f t="shared" si="1"/>
        <v>0.44999999999999996</v>
      </c>
      <c r="I36" s="71">
        <f t="shared" si="0"/>
        <v>0</v>
      </c>
      <c r="J36" s="116"/>
      <c r="K36" s="168"/>
      <c r="L36" s="53" t="s">
        <v>136</v>
      </c>
      <c r="M36" s="70" t="s">
        <v>160</v>
      </c>
      <c r="N36" s="120"/>
      <c r="O36" s="70" t="s">
        <v>160</v>
      </c>
      <c r="P36" s="120"/>
      <c r="Q36" s="121" t="s">
        <v>171</v>
      </c>
      <c r="R36" s="117"/>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row>
    <row r="37" spans="1:58" s="49" customFormat="1" x14ac:dyDescent="0.35">
      <c r="A37" s="116"/>
      <c r="B37" s="158"/>
      <c r="C37" s="66" t="str">
        <f>_xlfn.CONCAT("&gt;", $D$21, " kg/cm2")</f>
        <v>&gt;1 kg/cm2</v>
      </c>
      <c r="D37" s="122"/>
      <c r="E37" s="71">
        <f t="shared" si="0"/>
        <v>0</v>
      </c>
      <c r="F37" s="119">
        <f t="shared" si="1"/>
        <v>0</v>
      </c>
      <c r="G37" s="71">
        <f t="shared" si="0"/>
        <v>0</v>
      </c>
      <c r="H37" s="119">
        <f t="shared" si="1"/>
        <v>0</v>
      </c>
      <c r="I37" s="71">
        <f t="shared" si="0"/>
        <v>0</v>
      </c>
      <c r="J37" s="116"/>
      <c r="K37" s="66" t="str">
        <f>C37</f>
        <v>&gt;1 kg/cm2</v>
      </c>
      <c r="L37" s="122"/>
      <c r="M37" s="121" t="s">
        <v>171</v>
      </c>
      <c r="N37" s="121" t="s">
        <v>171</v>
      </c>
      <c r="O37" s="121" t="s">
        <v>171</v>
      </c>
      <c r="P37" s="121" t="s">
        <v>171</v>
      </c>
      <c r="Q37" s="121" t="s">
        <v>171</v>
      </c>
      <c r="R37" s="117"/>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row>
    <row r="38" spans="1:58" x14ac:dyDescent="0.35">
      <c r="A38" s="116"/>
      <c r="B38" s="116"/>
      <c r="C38" s="116"/>
      <c r="D38" s="116"/>
      <c r="E38" s="116"/>
      <c r="F38" s="116"/>
      <c r="G38" s="116"/>
      <c r="H38" s="116"/>
      <c r="I38" s="116"/>
      <c r="J38" s="116"/>
      <c r="K38" s="116"/>
      <c r="L38" s="116"/>
      <c r="M38" s="116"/>
      <c r="N38" s="116"/>
      <c r="O38" s="116"/>
      <c r="P38" s="116"/>
      <c r="Q38" s="116"/>
      <c r="R38" s="117"/>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row>
    <row r="39" spans="1:58" s="49" customFormat="1" x14ac:dyDescent="0.35">
      <c r="A39" s="116"/>
      <c r="B39" s="147" t="s">
        <v>172</v>
      </c>
      <c r="C39" s="147"/>
      <c r="D39" s="147"/>
      <c r="E39" s="147"/>
      <c r="F39" s="147"/>
      <c r="G39" s="117"/>
      <c r="H39" s="51" t="s">
        <v>162</v>
      </c>
      <c r="I39" s="122"/>
      <c r="J39" s="116"/>
      <c r="K39" s="116"/>
      <c r="L39" s="116"/>
      <c r="M39" s="116"/>
      <c r="N39" s="116"/>
      <c r="O39" s="116"/>
      <c r="P39" s="116"/>
      <c r="Q39" s="116"/>
      <c r="R39" s="117"/>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row>
    <row r="40" spans="1:58" s="49" customFormat="1" ht="29" x14ac:dyDescent="0.35">
      <c r="A40" s="116"/>
      <c r="B40" s="161" t="s">
        <v>164</v>
      </c>
      <c r="C40" s="161"/>
      <c r="D40" s="161"/>
      <c r="E40" s="54" t="s">
        <v>167</v>
      </c>
      <c r="F40" s="54" t="s">
        <v>168</v>
      </c>
      <c r="G40" s="116"/>
      <c r="H40" s="51" t="s">
        <v>166</v>
      </c>
      <c r="I40" s="65" t="s">
        <v>163</v>
      </c>
      <c r="J40" s="116"/>
      <c r="K40" s="169" t="s">
        <v>169</v>
      </c>
      <c r="L40" s="169"/>
      <c r="M40" s="116"/>
      <c r="N40" s="116"/>
      <c r="O40" s="116"/>
      <c r="P40" s="116"/>
      <c r="Q40" s="116"/>
      <c r="R40" s="117"/>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row>
    <row r="41" spans="1:58" s="49" customFormat="1" ht="15.65" customHeight="1" x14ac:dyDescent="0.35">
      <c r="A41" s="116"/>
      <c r="B41" s="158" t="s">
        <v>170</v>
      </c>
      <c r="C41" s="154" t="str">
        <f>IF(I40="Non", _xlfn.CONCAT("&lt;", $D$19, " kg/cm2"), _xlfn.CONCAT("&lt;", $D$20, " kg/cm2"))</f>
        <v>&lt;0,7 kg/cm2</v>
      </c>
      <c r="D41" s="53" t="s">
        <v>135</v>
      </c>
      <c r="E41" s="71">
        <f>IF(M41="Non élig.", 0, INDEX($B$25:$E$27, MATCH(M41, $B$25:$B$27, 0), MATCH($D41, $B$25:$E$25, 0)))</f>
        <v>0.4</v>
      </c>
      <c r="F41" s="119">
        <f>IF(E41=0, 0, E41+$D$13)</f>
        <v>0.7</v>
      </c>
      <c r="G41" s="116"/>
      <c r="H41" s="116"/>
      <c r="I41" s="116"/>
      <c r="J41" s="116"/>
      <c r="K41" s="167" t="str">
        <f>C41</f>
        <v>&lt;0,7 kg/cm2</v>
      </c>
      <c r="L41" s="53" t="s">
        <v>135</v>
      </c>
      <c r="M41" s="69" t="s">
        <v>159</v>
      </c>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row>
    <row r="42" spans="1:58" s="49" customFormat="1" x14ac:dyDescent="0.35">
      <c r="A42" s="116"/>
      <c r="B42" s="158"/>
      <c r="C42" s="154"/>
      <c r="D42" s="53" t="s">
        <v>136</v>
      </c>
      <c r="E42" s="71">
        <f t="shared" ref="E42:E45" si="2">IF(M42="Non élig.", 0, INDEX($B$25:$E$27, MATCH(M42, $B$25:$B$27, 0), MATCH($D42, $B$25:$E$25, 0)))</f>
        <v>0.25</v>
      </c>
      <c r="F42" s="119">
        <f t="shared" ref="F42" si="3">IF(E42=0, 0, E42+$D$13)</f>
        <v>0.55000000000000004</v>
      </c>
      <c r="G42" s="116"/>
      <c r="H42" s="116"/>
      <c r="I42" s="116"/>
      <c r="J42" s="116"/>
      <c r="K42" s="168"/>
      <c r="L42" s="53" t="s">
        <v>136</v>
      </c>
      <c r="M42" s="69" t="s">
        <v>159</v>
      </c>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row>
    <row r="43" spans="1:58" s="49" customFormat="1" x14ac:dyDescent="0.35">
      <c r="A43" s="116"/>
      <c r="B43" s="158"/>
      <c r="C43" s="154" t="str">
        <f>IF(I40="Non", _xlfn.CONCAT("entre ", $D$19, " et ", $D$21, " kg/cm2"), _xlfn.CONCAT("entre ", $D$20, " et ", $D$17, " kg/cm2"))</f>
        <v>entre 0,7 et 1 kg/cm2</v>
      </c>
      <c r="D43" s="53" t="s">
        <v>135</v>
      </c>
      <c r="E43" s="71">
        <f t="shared" si="2"/>
        <v>0.2</v>
      </c>
      <c r="F43" s="119">
        <f t="shared" ref="F43" si="4">IF(E43=0, 0, E43+$D$13)</f>
        <v>0.5</v>
      </c>
      <c r="G43" s="116"/>
      <c r="H43" s="116"/>
      <c r="I43" s="116"/>
      <c r="J43" s="116"/>
      <c r="K43" s="167" t="str">
        <f>C43</f>
        <v>entre 0,7 et 1 kg/cm2</v>
      </c>
      <c r="L43" s="53" t="s">
        <v>135</v>
      </c>
      <c r="M43" s="70" t="s">
        <v>160</v>
      </c>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row>
    <row r="44" spans="1:58" s="49" customFormat="1" x14ac:dyDescent="0.35">
      <c r="A44" s="116"/>
      <c r="B44" s="158"/>
      <c r="C44" s="154"/>
      <c r="D44" s="53" t="s">
        <v>136</v>
      </c>
      <c r="E44" s="71">
        <f t="shared" si="2"/>
        <v>0.15</v>
      </c>
      <c r="F44" s="119">
        <f t="shared" ref="F44" si="5">IF(E44=0, 0, E44+$D$13)</f>
        <v>0.44999999999999996</v>
      </c>
      <c r="G44" s="116"/>
      <c r="H44" s="116"/>
      <c r="I44" s="116"/>
      <c r="J44" s="116"/>
      <c r="K44" s="168"/>
      <c r="L44" s="53" t="s">
        <v>136</v>
      </c>
      <c r="M44" s="70" t="s">
        <v>160</v>
      </c>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row>
    <row r="45" spans="1:58" s="49" customFormat="1" x14ac:dyDescent="0.35">
      <c r="A45" s="116"/>
      <c r="B45" s="158"/>
      <c r="C45" s="66" t="str">
        <f>_xlfn.CONCAT("&gt;", $D$21, " kg/cm2")</f>
        <v>&gt;1 kg/cm2</v>
      </c>
      <c r="D45" s="122"/>
      <c r="E45" s="71">
        <f t="shared" si="2"/>
        <v>0</v>
      </c>
      <c r="F45" s="119">
        <f t="shared" ref="F45" si="6">IF(E45=0, 0, E45+$D$13)</f>
        <v>0</v>
      </c>
      <c r="G45" s="116"/>
      <c r="H45" s="116"/>
      <c r="I45" s="116"/>
      <c r="J45" s="116"/>
      <c r="K45" s="66" t="str">
        <f>_xlfn.CONCAT("&gt;", $D$21, " kg/cm2")</f>
        <v>&gt;1 kg/cm2</v>
      </c>
      <c r="L45" s="122"/>
      <c r="M45" s="121" t="s">
        <v>171</v>
      </c>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row>
    <row r="47" spans="1:58" s="49" customFormat="1" ht="15.75" customHeight="1" x14ac:dyDescent="0.35">
      <c r="A47" s="116"/>
      <c r="B47" s="162" t="s">
        <v>173</v>
      </c>
      <c r="C47" s="162"/>
      <c r="D47" s="162"/>
      <c r="E47" s="162"/>
      <c r="F47" s="162"/>
      <c r="G47" s="162"/>
      <c r="H47" s="162"/>
      <c r="I47" s="162"/>
      <c r="J47" s="116"/>
      <c r="K47" s="52" t="s">
        <v>162</v>
      </c>
      <c r="L47" s="65" t="s">
        <v>174</v>
      </c>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row>
    <row r="48" spans="1:58" s="49" customFormat="1" ht="15.75" customHeight="1" x14ac:dyDescent="0.35">
      <c r="A48" s="116"/>
      <c r="B48" s="161" t="s">
        <v>164</v>
      </c>
      <c r="C48" s="161"/>
      <c r="D48" s="161"/>
      <c r="E48" s="159" t="s">
        <v>165</v>
      </c>
      <c r="F48" s="159"/>
      <c r="G48" s="159"/>
      <c r="H48" s="159"/>
      <c r="I48" s="159"/>
      <c r="J48" s="116"/>
      <c r="K48" s="52" t="s">
        <v>166</v>
      </c>
      <c r="L48" s="65" t="s">
        <v>174</v>
      </c>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row>
    <row r="49" spans="1:58" s="49" customFormat="1" x14ac:dyDescent="0.35">
      <c r="A49" s="116"/>
      <c r="B49" s="161"/>
      <c r="C49" s="161"/>
      <c r="D49" s="161"/>
      <c r="E49" s="160" t="str">
        <f>IF(L47="Non", _xlfn.CONCAT("&lt;", $D$15, " t/roue"), _xlfn.CONCAT("&lt;", $D$16, " t/roue"))</f>
        <v>&lt;4 t/roue</v>
      </c>
      <c r="F49" s="160"/>
      <c r="G49" s="160" t="str">
        <f>IF(L47="Non", _xlfn.CONCAT("entre ", $D$15, " et ", $D$17, " t/roue"), _xlfn.CONCAT("entre ", $D$16, " et ", $D$17, " t/roue"))</f>
        <v>entre 4 et 5 t/roue</v>
      </c>
      <c r="H49" s="160"/>
      <c r="I49" s="64" t="str">
        <f>_xlfn.CONCAT("&gt;", $D$17, " t/roue")</f>
        <v>&gt;5 t/roue</v>
      </c>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row>
    <row r="50" spans="1:58" s="49" customFormat="1" ht="43.5" x14ac:dyDescent="0.35">
      <c r="A50" s="116"/>
      <c r="B50" s="161"/>
      <c r="C50" s="161"/>
      <c r="D50" s="161"/>
      <c r="E50" s="54" t="s">
        <v>167</v>
      </c>
      <c r="F50" s="54" t="s">
        <v>168</v>
      </c>
      <c r="G50" s="54" t="s">
        <v>167</v>
      </c>
      <c r="H50" s="54" t="s">
        <v>168</v>
      </c>
      <c r="I50" s="118"/>
      <c r="J50" s="116"/>
      <c r="K50" s="169" t="s">
        <v>169</v>
      </c>
      <c r="L50" s="169"/>
      <c r="M50" s="64" t="str">
        <f>E49</f>
        <v>&lt;4 t/roue</v>
      </c>
      <c r="N50" s="64"/>
      <c r="O50" s="64" t="str">
        <f>G49</f>
        <v>entre 4 et 5 t/roue</v>
      </c>
      <c r="P50" s="64"/>
      <c r="Q50" s="64" t="str">
        <f>I49</f>
        <v>&gt;5 t/roue</v>
      </c>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row>
    <row r="51" spans="1:58" s="49" customFormat="1" ht="16.5" customHeight="1" x14ac:dyDescent="0.35">
      <c r="A51" s="116"/>
      <c r="B51" s="158" t="s">
        <v>170</v>
      </c>
      <c r="C51" s="154" t="str">
        <f>IF(L48="Non", _xlfn.CONCAT("&lt;", $D$19, " kg/cm2"), _xlfn.CONCAT("&lt;", $D$20, " kg/cm2"))</f>
        <v>&lt;0,8 kg/cm2</v>
      </c>
      <c r="D51" s="53" t="s">
        <v>135</v>
      </c>
      <c r="E51" s="71">
        <f>IF(M51="Non élig.", 0, INDEX($B$25:$E$27, MATCH(M51, $B$25:$B$27, 0), MATCH($D51, $B$25:$E$25, 0)))</f>
        <v>0.4</v>
      </c>
      <c r="F51" s="119">
        <f>IF(E51=0, 0, E51+$D$13)</f>
        <v>0.7</v>
      </c>
      <c r="G51" s="71">
        <f>IF(O51="Non élig.", 0, INDEX($B$25:$E$27, MATCH(O51, $B$25:$B$27, 0), MATCH($D51, $B$25:$E$25, 0)))</f>
        <v>0.2</v>
      </c>
      <c r="H51" s="119">
        <f>IF(G51=0, 0, G51+$D$13)</f>
        <v>0.5</v>
      </c>
      <c r="I51" s="71">
        <f>IF(Q51="Non élig.", 0, INDEX($B$25:$E$27, MATCH(Q51, $B$25:$B$27, 0), MATCH($D51, $B$25:$E$25, 0)))</f>
        <v>0</v>
      </c>
      <c r="J51" s="116"/>
      <c r="K51" s="167" t="str">
        <f>C51</f>
        <v>&lt;0,8 kg/cm2</v>
      </c>
      <c r="L51" s="53" t="s">
        <v>135</v>
      </c>
      <c r="M51" s="69" t="s">
        <v>159</v>
      </c>
      <c r="N51" s="120"/>
      <c r="O51" s="70" t="s">
        <v>160</v>
      </c>
      <c r="P51" s="120"/>
      <c r="Q51" s="121" t="s">
        <v>171</v>
      </c>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row>
    <row r="52" spans="1:58" s="49" customFormat="1" x14ac:dyDescent="0.35">
      <c r="A52" s="116"/>
      <c r="B52" s="158"/>
      <c r="C52" s="154"/>
      <c r="D52" s="53" t="s">
        <v>136</v>
      </c>
      <c r="E52" s="71">
        <f t="shared" ref="E52:E55" si="7">IF(M52="Non élig.", 0, INDEX($B$25:$E$27, MATCH(M52, $B$25:$B$27, 0), MATCH($D52, $B$25:$E$25, 0)))</f>
        <v>0.25</v>
      </c>
      <c r="F52" s="119">
        <f t="shared" ref="F52" si="8">IF(E52=0, 0, E52+$D$13)</f>
        <v>0.55000000000000004</v>
      </c>
      <c r="G52" s="71">
        <f t="shared" ref="G52:I55" si="9">IF(O52="Non élig.", 0, INDEX($B$25:$E$27, MATCH(O52, $B$25:$B$27, 0), MATCH($D52, $B$25:$E$25, 0)))</f>
        <v>0.15</v>
      </c>
      <c r="H52" s="119">
        <f t="shared" ref="H52" si="10">IF(G52=0, 0, G52+$D$13)</f>
        <v>0.44999999999999996</v>
      </c>
      <c r="I52" s="71">
        <f t="shared" si="9"/>
        <v>0</v>
      </c>
      <c r="J52" s="116"/>
      <c r="K52" s="168"/>
      <c r="L52" s="53" t="s">
        <v>136</v>
      </c>
      <c r="M52" s="69" t="s">
        <v>159</v>
      </c>
      <c r="N52" s="120"/>
      <c r="O52" s="70" t="s">
        <v>160</v>
      </c>
      <c r="P52" s="120"/>
      <c r="Q52" s="121" t="s">
        <v>171</v>
      </c>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row>
    <row r="53" spans="1:58" s="49" customFormat="1" ht="15" customHeight="1" x14ac:dyDescent="0.35">
      <c r="A53" s="116"/>
      <c r="B53" s="158"/>
      <c r="C53" s="154" t="str">
        <f>IF(L48="Non", _xlfn.CONCAT("entre ", $D$19, " et ", $D$21, " kg/cm2"), _xlfn.CONCAT("entre ", $D$20, " et ", $D$21, " kg/cm2"))</f>
        <v>entre 0,8 et 1 kg/cm2</v>
      </c>
      <c r="D53" s="53" t="s">
        <v>135</v>
      </c>
      <c r="E53" s="71">
        <f t="shared" si="7"/>
        <v>0.2</v>
      </c>
      <c r="F53" s="119">
        <f t="shared" ref="F53" si="11">IF(E53=0, 0, E53+$D$13)</f>
        <v>0.5</v>
      </c>
      <c r="G53" s="71">
        <f t="shared" si="9"/>
        <v>0.2</v>
      </c>
      <c r="H53" s="119">
        <f t="shared" ref="H53" si="12">IF(G53=0, 0, G53+$D$13)</f>
        <v>0.5</v>
      </c>
      <c r="I53" s="71">
        <f t="shared" si="9"/>
        <v>0</v>
      </c>
      <c r="J53" s="116"/>
      <c r="K53" s="167" t="str">
        <f>C53</f>
        <v>entre 0,8 et 1 kg/cm2</v>
      </c>
      <c r="L53" s="53" t="s">
        <v>135</v>
      </c>
      <c r="M53" s="70" t="s">
        <v>160</v>
      </c>
      <c r="N53" s="120"/>
      <c r="O53" s="70" t="s">
        <v>160</v>
      </c>
      <c r="P53" s="120"/>
      <c r="Q53" s="121" t="s">
        <v>171</v>
      </c>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row>
    <row r="54" spans="1:58" s="49" customFormat="1" x14ac:dyDescent="0.35">
      <c r="A54" s="116"/>
      <c r="B54" s="158"/>
      <c r="C54" s="154"/>
      <c r="D54" s="53" t="s">
        <v>136</v>
      </c>
      <c r="E54" s="71">
        <f t="shared" si="7"/>
        <v>0.15</v>
      </c>
      <c r="F54" s="119">
        <f t="shared" ref="F54" si="13">IF(E54=0, 0, E54+$D$13)</f>
        <v>0.44999999999999996</v>
      </c>
      <c r="G54" s="71">
        <f t="shared" si="9"/>
        <v>0.15</v>
      </c>
      <c r="H54" s="119">
        <f t="shared" ref="H54" si="14">IF(G54=0, 0, G54+$D$13)</f>
        <v>0.44999999999999996</v>
      </c>
      <c r="I54" s="71">
        <f t="shared" si="9"/>
        <v>0</v>
      </c>
      <c r="J54" s="116"/>
      <c r="K54" s="168"/>
      <c r="L54" s="53" t="s">
        <v>136</v>
      </c>
      <c r="M54" s="70" t="s">
        <v>160</v>
      </c>
      <c r="N54" s="120"/>
      <c r="O54" s="70" t="s">
        <v>160</v>
      </c>
      <c r="P54" s="120"/>
      <c r="Q54" s="121" t="s">
        <v>171</v>
      </c>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row>
    <row r="55" spans="1:58" s="49" customFormat="1" x14ac:dyDescent="0.35">
      <c r="A55" s="116"/>
      <c r="B55" s="158"/>
      <c r="C55" s="66" t="str">
        <f>_xlfn.CONCAT("&gt;", $D$21, " kg/cm2")</f>
        <v>&gt;1 kg/cm2</v>
      </c>
      <c r="D55" s="122"/>
      <c r="E55" s="71">
        <f t="shared" si="7"/>
        <v>0</v>
      </c>
      <c r="F55" s="119">
        <f t="shared" ref="F55" si="15">IF(E55=0, 0, E55+$D$13)</f>
        <v>0</v>
      </c>
      <c r="G55" s="71">
        <f t="shared" si="9"/>
        <v>0</v>
      </c>
      <c r="H55" s="119">
        <f t="shared" ref="H55" si="16">IF(G55=0, 0, G55+$D$13)</f>
        <v>0</v>
      </c>
      <c r="I55" s="71">
        <f t="shared" si="9"/>
        <v>0</v>
      </c>
      <c r="J55" s="116"/>
      <c r="K55" s="66" t="str">
        <f>C55</f>
        <v>&gt;1 kg/cm2</v>
      </c>
      <c r="L55" s="122"/>
      <c r="M55" s="121" t="s">
        <v>171</v>
      </c>
      <c r="N55" s="121" t="s">
        <v>171</v>
      </c>
      <c r="O55" s="121" t="s">
        <v>171</v>
      </c>
      <c r="P55" s="121" t="s">
        <v>171</v>
      </c>
      <c r="Q55" s="121" t="s">
        <v>171</v>
      </c>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row>
    <row r="56" spans="1:58" x14ac:dyDescent="0.35">
      <c r="A56" s="116"/>
      <c r="B56" s="123"/>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row>
    <row r="57" spans="1:58" s="49" customFormat="1" x14ac:dyDescent="0.35">
      <c r="A57" s="116"/>
      <c r="B57" s="147" t="s">
        <v>175</v>
      </c>
      <c r="C57" s="147"/>
      <c r="D57" s="147"/>
      <c r="E57" s="147"/>
      <c r="F57" s="147"/>
      <c r="G57" s="116"/>
      <c r="H57" s="51" t="s">
        <v>162</v>
      </c>
      <c r="I57" s="122"/>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row>
    <row r="58" spans="1:58" s="49" customFormat="1" ht="43.5" x14ac:dyDescent="0.35">
      <c r="A58" s="116"/>
      <c r="B58" s="161" t="s">
        <v>164</v>
      </c>
      <c r="C58" s="161"/>
      <c r="D58" s="161"/>
      <c r="E58" s="54" t="s">
        <v>167</v>
      </c>
      <c r="F58" s="54" t="s">
        <v>168</v>
      </c>
      <c r="G58" s="116"/>
      <c r="H58" s="51" t="s">
        <v>166</v>
      </c>
      <c r="I58" s="65" t="s">
        <v>174</v>
      </c>
      <c r="J58" s="116"/>
      <c r="K58" s="169" t="s">
        <v>169</v>
      </c>
      <c r="L58" s="169"/>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row>
    <row r="59" spans="1:58" s="49" customFormat="1" ht="15.65" customHeight="1" x14ac:dyDescent="0.35">
      <c r="A59" s="116"/>
      <c r="B59" s="158" t="s">
        <v>170</v>
      </c>
      <c r="C59" s="154" t="str">
        <f>IF(I58="Non", _xlfn.CONCAT("&lt;", $D$19, " kg/cm2"), _xlfn.CONCAT("&lt;", $D$20, " kg/cm2"))</f>
        <v>&lt;0,8 kg/cm2</v>
      </c>
      <c r="D59" s="53" t="s">
        <v>135</v>
      </c>
      <c r="E59" s="71">
        <f>IF(M59="Non élig.", 0, INDEX($B$25:$E$27, MATCH(M59, $B$25:$B$27, 0), MATCH($D59, $B$25:$E$25, 0)))</f>
        <v>0.4</v>
      </c>
      <c r="F59" s="119">
        <f>IF(E59=0, 0, E59+$D$13)</f>
        <v>0.7</v>
      </c>
      <c r="G59" s="116"/>
      <c r="H59" s="116"/>
      <c r="I59" s="116"/>
      <c r="J59" s="116"/>
      <c r="K59" s="167" t="str">
        <f>C59</f>
        <v>&lt;0,8 kg/cm2</v>
      </c>
      <c r="L59" s="53" t="s">
        <v>135</v>
      </c>
      <c r="M59" s="69" t="s">
        <v>159</v>
      </c>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row>
    <row r="60" spans="1:58" s="49" customFormat="1" x14ac:dyDescent="0.35">
      <c r="A60" s="116"/>
      <c r="B60" s="158"/>
      <c r="C60" s="154"/>
      <c r="D60" s="53" t="s">
        <v>136</v>
      </c>
      <c r="E60" s="71">
        <f t="shared" ref="E60:E63" si="17">IF(M60="Non élig.", 0, INDEX($B$25:$E$27, MATCH(M60, $B$25:$B$27, 0), MATCH($D60, $B$25:$E$25, 0)))</f>
        <v>0.25</v>
      </c>
      <c r="F60" s="119">
        <f t="shared" ref="F60" si="18">IF(E60=0, 0, E60+$D$13)</f>
        <v>0.55000000000000004</v>
      </c>
      <c r="G60" s="116"/>
      <c r="H60" s="116"/>
      <c r="I60" s="116"/>
      <c r="J60" s="116"/>
      <c r="K60" s="168"/>
      <c r="L60" s="53" t="s">
        <v>136</v>
      </c>
      <c r="M60" s="69" t="s">
        <v>159</v>
      </c>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row>
    <row r="61" spans="1:58" s="49" customFormat="1" ht="15.65" customHeight="1" x14ac:dyDescent="0.35">
      <c r="A61" s="116"/>
      <c r="B61" s="158"/>
      <c r="C61" s="154" t="str">
        <f>IF(I58="Non", _xlfn.CONCAT("entre ", $D$19, " et ", $D$21, " kg/cm2"), _xlfn.CONCAT("entre ", $D$20, " et ", $D$21, " kg/cm2"))</f>
        <v>entre 0,8 et 1 kg/cm2</v>
      </c>
      <c r="D61" s="53" t="s">
        <v>135</v>
      </c>
      <c r="E61" s="71">
        <f t="shared" si="17"/>
        <v>0.2</v>
      </c>
      <c r="F61" s="119">
        <f t="shared" ref="F61" si="19">IF(E61=0, 0, E61+$D$13)</f>
        <v>0.5</v>
      </c>
      <c r="G61" s="116"/>
      <c r="H61" s="116"/>
      <c r="I61" s="116"/>
      <c r="J61" s="116"/>
      <c r="K61" s="167" t="str">
        <f>C61</f>
        <v>entre 0,8 et 1 kg/cm2</v>
      </c>
      <c r="L61" s="53" t="s">
        <v>135</v>
      </c>
      <c r="M61" s="70" t="s">
        <v>160</v>
      </c>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row>
    <row r="62" spans="1:58" s="49" customFormat="1" x14ac:dyDescent="0.35">
      <c r="A62" s="116"/>
      <c r="B62" s="158"/>
      <c r="C62" s="154"/>
      <c r="D62" s="53" t="s">
        <v>136</v>
      </c>
      <c r="E62" s="71">
        <f t="shared" si="17"/>
        <v>0.15</v>
      </c>
      <c r="F62" s="119">
        <f t="shared" ref="F62" si="20">IF(E62=0, 0, E62+$D$13)</f>
        <v>0.44999999999999996</v>
      </c>
      <c r="G62" s="116"/>
      <c r="H62" s="116"/>
      <c r="I62" s="116"/>
      <c r="J62" s="116"/>
      <c r="K62" s="168"/>
      <c r="L62" s="53" t="s">
        <v>136</v>
      </c>
      <c r="M62" s="70" t="s">
        <v>160</v>
      </c>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row>
    <row r="63" spans="1:58" s="49" customFormat="1" x14ac:dyDescent="0.35">
      <c r="A63" s="116"/>
      <c r="B63" s="158"/>
      <c r="C63" s="66" t="str">
        <f>_xlfn.CONCAT("&gt;", $D$21, " kg/cm2")</f>
        <v>&gt;1 kg/cm2</v>
      </c>
      <c r="D63" s="122"/>
      <c r="E63" s="71">
        <f t="shared" si="17"/>
        <v>0</v>
      </c>
      <c r="F63" s="119">
        <f t="shared" ref="F63" si="21">IF(E63=0, 0, E63+$D$13)</f>
        <v>0</v>
      </c>
      <c r="G63" s="116"/>
      <c r="H63" s="116"/>
      <c r="I63" s="116"/>
      <c r="J63" s="116"/>
      <c r="K63" s="66" t="str">
        <f>_xlfn.CONCAT("&gt;", $D$21, " kg/cm2")</f>
        <v>&gt;1 kg/cm2</v>
      </c>
      <c r="L63" s="122"/>
      <c r="M63" s="121" t="s">
        <v>171</v>
      </c>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row>
    <row r="64" spans="1:58" x14ac:dyDescent="0.35">
      <c r="A64" s="116"/>
      <c r="B64" s="123"/>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row>
    <row r="65" spans="1:58" s="49" customFormat="1" x14ac:dyDescent="0.35">
      <c r="A65" s="116"/>
      <c r="B65" s="147" t="s">
        <v>176</v>
      </c>
      <c r="C65" s="147"/>
      <c r="D65" s="147"/>
      <c r="E65" s="147"/>
      <c r="F65" s="147"/>
      <c r="G65" s="147"/>
      <c r="H65" s="147"/>
      <c r="I65" s="147"/>
      <c r="J65" s="116"/>
      <c r="K65" s="52" t="s">
        <v>162</v>
      </c>
      <c r="L65" s="65" t="s">
        <v>163</v>
      </c>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row>
    <row r="66" spans="1:58" s="49" customFormat="1" ht="15.75" customHeight="1" x14ac:dyDescent="0.35">
      <c r="A66" s="116"/>
      <c r="B66" s="161" t="s">
        <v>177</v>
      </c>
      <c r="C66" s="161"/>
      <c r="D66" s="161"/>
      <c r="E66" s="159" t="s">
        <v>165</v>
      </c>
      <c r="F66" s="159"/>
      <c r="G66" s="159"/>
      <c r="H66" s="159"/>
      <c r="I66" s="159"/>
      <c r="J66" s="116"/>
      <c r="K66" s="52" t="s">
        <v>166</v>
      </c>
      <c r="L66" s="65" t="s">
        <v>163</v>
      </c>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row>
    <row r="67" spans="1:58" s="49" customFormat="1" x14ac:dyDescent="0.35">
      <c r="A67" s="116"/>
      <c r="B67" s="161"/>
      <c r="C67" s="161"/>
      <c r="D67" s="161"/>
      <c r="E67" s="160" t="str">
        <f>IF(L65="Non", _xlfn.CONCAT("&lt;", $D$15, " t/roue"), _xlfn.CONCAT("&lt;", $D$16, " t/roue"))</f>
        <v>&lt;3,5 t/roue</v>
      </c>
      <c r="F67" s="160"/>
      <c r="G67" s="160" t="str">
        <f>IF(L65="Non", _xlfn.CONCAT("entre ", $D$15, " et ", $D$17, " t/roue"), _xlfn.CONCAT("entre ", $D$16, " et ", $D$17, " t/roue"))</f>
        <v>entre 3,5 et 5 t/roue</v>
      </c>
      <c r="H67" s="160"/>
      <c r="I67" s="64" t="str">
        <f>_xlfn.CONCAT("&gt;", $D$17, " t/roue")</f>
        <v>&gt;5 t/roue</v>
      </c>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row>
    <row r="68" spans="1:58" s="49" customFormat="1" ht="43.5" x14ac:dyDescent="0.35">
      <c r="A68" s="116"/>
      <c r="B68" s="161"/>
      <c r="C68" s="161"/>
      <c r="D68" s="161"/>
      <c r="E68" s="54" t="s">
        <v>167</v>
      </c>
      <c r="F68" s="54" t="s">
        <v>168</v>
      </c>
      <c r="G68" s="54" t="s">
        <v>167</v>
      </c>
      <c r="H68" s="54" t="s">
        <v>168</v>
      </c>
      <c r="I68" s="118"/>
      <c r="J68" s="116"/>
      <c r="K68" s="169" t="s">
        <v>169</v>
      </c>
      <c r="L68" s="169"/>
      <c r="M68" s="64" t="str">
        <f>E67</f>
        <v>&lt;3,5 t/roue</v>
      </c>
      <c r="N68" s="64"/>
      <c r="O68" s="64" t="str">
        <f>G67</f>
        <v>entre 3,5 et 5 t/roue</v>
      </c>
      <c r="P68" s="64"/>
      <c r="Q68" s="64" t="str">
        <f>I67</f>
        <v>&gt;5 t/roue</v>
      </c>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c r="BF68" s="116"/>
    </row>
    <row r="69" spans="1:58" s="49" customFormat="1" ht="16.5" customHeight="1" x14ac:dyDescent="0.35">
      <c r="A69" s="116"/>
      <c r="B69" s="158" t="s">
        <v>178</v>
      </c>
      <c r="C69" s="154" t="str">
        <f>_xlfn.CONCAT("&lt; ", $D$23, " mm")</f>
        <v>&lt; 700 mm</v>
      </c>
      <c r="D69" s="53" t="s">
        <v>135</v>
      </c>
      <c r="E69" s="71">
        <f>IF(M69="Non élig.", 0, INDEX($B$25:$E$27, MATCH(M69, $B$25:$B$27, 0), MATCH($D69, $B$25:$E$25, 0)))</f>
        <v>0.2</v>
      </c>
      <c r="F69" s="119">
        <f>E69+$D$13</f>
        <v>0.5</v>
      </c>
      <c r="G69" s="71">
        <f>IF(O69="Non élig.", 0, INDEX($B$25:$E$27, MATCH(O69, $B$25:$B$27, 0), MATCH($D69, $B$25:$E$25, 0)))</f>
        <v>0.2</v>
      </c>
      <c r="H69" s="119">
        <f>G69+$D$13</f>
        <v>0.5</v>
      </c>
      <c r="I69" s="71">
        <f>IF(Q69="Non élig.", 0, INDEX($B$25:$E$27, MATCH(Q69, $B$25:$B$27, 0), MATCH($D69, $B$25:$E$25, 0)))</f>
        <v>0</v>
      </c>
      <c r="J69" s="116"/>
      <c r="K69" s="167" t="str">
        <f>C69</f>
        <v>&lt; 700 mm</v>
      </c>
      <c r="L69" s="53" t="s">
        <v>135</v>
      </c>
      <c r="M69" s="70" t="s">
        <v>160</v>
      </c>
      <c r="N69" s="120"/>
      <c r="O69" s="70" t="s">
        <v>160</v>
      </c>
      <c r="P69" s="120"/>
      <c r="Q69" s="121" t="s">
        <v>171</v>
      </c>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c r="BF69" s="116"/>
    </row>
    <row r="70" spans="1:58" s="49" customFormat="1" x14ac:dyDescent="0.35">
      <c r="A70" s="116"/>
      <c r="B70" s="158"/>
      <c r="C70" s="154"/>
      <c r="D70" s="53" t="s">
        <v>136</v>
      </c>
      <c r="E70" s="71">
        <f t="shared" ref="E70:E72" si="22">IF(M70="Non élig.", 0, INDEX($B$25:$E$27, MATCH(M70, $B$25:$B$27, 0), MATCH($D70, $B$25:$E$25, 0)))</f>
        <v>0.15</v>
      </c>
      <c r="F70" s="119">
        <f t="shared" ref="F70" si="23">E70+$D$13</f>
        <v>0.44999999999999996</v>
      </c>
      <c r="G70" s="71">
        <f t="shared" ref="G70:G72" si="24">IF(O70="Non élig.", 0, INDEX($B$25:$E$27, MATCH(O70, $B$25:$B$27, 0), MATCH($D70, $B$25:$E$25, 0)))</f>
        <v>0.15</v>
      </c>
      <c r="H70" s="119">
        <f t="shared" ref="H70" si="25">G70+$D$13</f>
        <v>0.44999999999999996</v>
      </c>
      <c r="I70" s="71">
        <f t="shared" ref="I70:I72" si="26">IF(Q70="Non élig.", 0, INDEX($B$25:$E$27, MATCH(Q70, $B$25:$B$27, 0), MATCH($D70, $B$25:$E$25, 0)))</f>
        <v>0</v>
      </c>
      <c r="J70" s="116"/>
      <c r="K70" s="168"/>
      <c r="L70" s="53" t="s">
        <v>136</v>
      </c>
      <c r="M70" s="70" t="s">
        <v>160</v>
      </c>
      <c r="N70" s="120"/>
      <c r="O70" s="70" t="s">
        <v>160</v>
      </c>
      <c r="P70" s="120"/>
      <c r="Q70" s="121" t="s">
        <v>171</v>
      </c>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row>
    <row r="71" spans="1:58" s="49" customFormat="1" x14ac:dyDescent="0.35">
      <c r="A71" s="116"/>
      <c r="B71" s="158"/>
      <c r="C71" s="154" t="str">
        <f>_xlfn.CONCAT("&gt;= ", $D$23, " mm")</f>
        <v>&gt;= 700 mm</v>
      </c>
      <c r="D71" s="53" t="s">
        <v>135</v>
      </c>
      <c r="E71" s="71">
        <f t="shared" si="22"/>
        <v>0.4</v>
      </c>
      <c r="F71" s="119">
        <f t="shared" ref="F71" si="27">E71+$D$13</f>
        <v>0.7</v>
      </c>
      <c r="G71" s="71">
        <f t="shared" si="24"/>
        <v>0.2</v>
      </c>
      <c r="H71" s="119">
        <f t="shared" ref="H71" si="28">G71+$D$13</f>
        <v>0.5</v>
      </c>
      <c r="I71" s="71">
        <f t="shared" si="26"/>
        <v>0</v>
      </c>
      <c r="J71" s="116"/>
      <c r="K71" s="167" t="str">
        <f>C71</f>
        <v>&gt;= 700 mm</v>
      </c>
      <c r="L71" s="53" t="s">
        <v>135</v>
      </c>
      <c r="M71" s="69" t="s">
        <v>159</v>
      </c>
      <c r="N71" s="120"/>
      <c r="O71" s="70" t="s">
        <v>160</v>
      </c>
      <c r="P71" s="120"/>
      <c r="Q71" s="121" t="s">
        <v>171</v>
      </c>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row>
    <row r="72" spans="1:58" s="49" customFormat="1" x14ac:dyDescent="0.35">
      <c r="A72" s="116"/>
      <c r="B72" s="158"/>
      <c r="C72" s="154"/>
      <c r="D72" s="53" t="s">
        <v>136</v>
      </c>
      <c r="E72" s="71">
        <f t="shared" si="22"/>
        <v>0.25</v>
      </c>
      <c r="F72" s="119">
        <f t="shared" ref="F72" si="29">E72+$D$13</f>
        <v>0.55000000000000004</v>
      </c>
      <c r="G72" s="71">
        <f t="shared" si="24"/>
        <v>0.15</v>
      </c>
      <c r="H72" s="119">
        <f t="shared" ref="H72" si="30">G72+$D$13</f>
        <v>0.44999999999999996</v>
      </c>
      <c r="I72" s="71">
        <f t="shared" si="26"/>
        <v>0</v>
      </c>
      <c r="J72" s="116"/>
      <c r="K72" s="168"/>
      <c r="L72" s="53" t="s">
        <v>136</v>
      </c>
      <c r="M72" s="69" t="s">
        <v>159</v>
      </c>
      <c r="N72" s="120"/>
      <c r="O72" s="70" t="s">
        <v>160</v>
      </c>
      <c r="P72" s="120"/>
      <c r="Q72" s="121" t="s">
        <v>171</v>
      </c>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row>
    <row r="74" spans="1:58" s="49" customFormat="1" x14ac:dyDescent="0.35">
      <c r="A74" s="116"/>
      <c r="B74" s="147" t="s">
        <v>179</v>
      </c>
      <c r="C74" s="147"/>
      <c r="D74" s="147"/>
      <c r="E74" s="147"/>
      <c r="F74" s="147"/>
      <c r="G74" s="147"/>
      <c r="H74" s="147"/>
      <c r="I74" s="147"/>
      <c r="J74" s="116"/>
      <c r="K74" s="52" t="s">
        <v>162</v>
      </c>
      <c r="L74" s="65" t="s">
        <v>174</v>
      </c>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c r="BF74" s="116"/>
    </row>
    <row r="75" spans="1:58" s="49" customFormat="1" ht="15.75" customHeight="1" x14ac:dyDescent="0.35">
      <c r="A75" s="116"/>
      <c r="B75" s="158" t="s">
        <v>180</v>
      </c>
      <c r="C75" s="158"/>
      <c r="D75" s="158"/>
      <c r="E75" s="159" t="s">
        <v>165</v>
      </c>
      <c r="F75" s="159"/>
      <c r="G75" s="159"/>
      <c r="H75" s="159"/>
      <c r="I75" s="159"/>
      <c r="J75" s="116"/>
      <c r="K75" s="52" t="s">
        <v>166</v>
      </c>
      <c r="L75" s="65" t="s">
        <v>163</v>
      </c>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c r="BF75" s="116"/>
    </row>
    <row r="76" spans="1:58" s="49" customFormat="1" x14ac:dyDescent="0.35">
      <c r="A76" s="116"/>
      <c r="B76" s="158"/>
      <c r="C76" s="158"/>
      <c r="D76" s="158"/>
      <c r="E76" s="160" t="str">
        <f>IF(L74="Non", _xlfn.CONCAT("&lt;", $D$15, " t/roue"), _xlfn.CONCAT("&lt;", $D$16, " t/roue"))</f>
        <v>&lt;4 t/roue</v>
      </c>
      <c r="F76" s="160"/>
      <c r="G76" s="160" t="str">
        <f>IF(L74="Non", _xlfn.CONCAT("entre ", $D$15, " et ", $D$17, " t/roue"), _xlfn.CONCAT("entre ", $D$16, " et ", $D$17, " t/roue"))</f>
        <v>entre 4 et 5 t/roue</v>
      </c>
      <c r="H76" s="160"/>
      <c r="I76" s="64" t="str">
        <f>_xlfn.CONCAT("&gt;", $D$17, " t/roue")</f>
        <v>&gt;5 t/roue</v>
      </c>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c r="AY76" s="116"/>
      <c r="AZ76" s="116"/>
      <c r="BA76" s="116"/>
      <c r="BB76" s="116"/>
      <c r="BC76" s="116"/>
      <c r="BD76" s="116"/>
      <c r="BE76" s="116"/>
      <c r="BF76" s="116"/>
    </row>
    <row r="77" spans="1:58" s="49" customFormat="1" ht="43.5" x14ac:dyDescent="0.35">
      <c r="A77" s="116"/>
      <c r="B77" s="158"/>
      <c r="C77" s="158"/>
      <c r="D77" s="158"/>
      <c r="E77" s="54" t="s">
        <v>167</v>
      </c>
      <c r="F77" s="54" t="s">
        <v>168</v>
      </c>
      <c r="G77" s="54" t="s">
        <v>167</v>
      </c>
      <c r="H77" s="54" t="s">
        <v>168</v>
      </c>
      <c r="I77" s="118"/>
      <c r="J77" s="116"/>
      <c r="K77" s="169" t="s">
        <v>169</v>
      </c>
      <c r="L77" s="169"/>
      <c r="M77" s="64" t="str">
        <f>E76</f>
        <v>&lt;4 t/roue</v>
      </c>
      <c r="N77" s="64"/>
      <c r="O77" s="64" t="str">
        <f>G76</f>
        <v>entre 4 et 5 t/roue</v>
      </c>
      <c r="P77" s="64"/>
      <c r="Q77" s="64" t="str">
        <f>I76</f>
        <v>&gt;5 t/roue</v>
      </c>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16"/>
    </row>
    <row r="78" spans="1:58" s="49" customFormat="1" ht="16.5" customHeight="1" x14ac:dyDescent="0.35">
      <c r="A78" s="116"/>
      <c r="B78" s="158" t="s">
        <v>178</v>
      </c>
      <c r="C78" s="154" t="str">
        <f>_xlfn.CONCAT("&lt; ", $D$23, " mm")</f>
        <v>&lt; 700 mm</v>
      </c>
      <c r="D78" s="53" t="s">
        <v>135</v>
      </c>
      <c r="E78" s="71">
        <f>IF(M78="Non élig.", 0, INDEX($B$25:$E$27, MATCH(M78, $B$25:$B$27, 0), MATCH($D78, $B$25:$E$25, 0)))</f>
        <v>0.4</v>
      </c>
      <c r="F78" s="119">
        <f>E78+$D$13</f>
        <v>0.7</v>
      </c>
      <c r="G78" s="71">
        <f>IF(O78="Non élig.", 0, INDEX($B$25:$E$27, MATCH(O78, $B$25:$B$27, 0), MATCH($D78, $B$25:$E$25, 0)))</f>
        <v>0.2</v>
      </c>
      <c r="H78" s="119">
        <f>G78+$D$13</f>
        <v>0.5</v>
      </c>
      <c r="I78" s="71">
        <f>IF(Q78="Non élig.", 0, INDEX($B$25:$E$27, MATCH(Q78, $B$25:$B$27, 0), MATCH($D78, $B$25:$E$25, 0)))</f>
        <v>0</v>
      </c>
      <c r="J78" s="116"/>
      <c r="K78" s="167" t="str">
        <f>C78</f>
        <v>&lt; 700 mm</v>
      </c>
      <c r="L78" s="53" t="s">
        <v>135</v>
      </c>
      <c r="M78" s="69" t="s">
        <v>159</v>
      </c>
      <c r="N78" s="120"/>
      <c r="O78" s="70" t="s">
        <v>160</v>
      </c>
      <c r="P78" s="120"/>
      <c r="Q78" s="121" t="s">
        <v>171</v>
      </c>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row>
    <row r="79" spans="1:58" s="49" customFormat="1" x14ac:dyDescent="0.35">
      <c r="A79" s="116"/>
      <c r="B79" s="158"/>
      <c r="C79" s="154"/>
      <c r="D79" s="53" t="s">
        <v>136</v>
      </c>
      <c r="E79" s="71">
        <f t="shared" ref="E79:E81" si="31">IF(M79="Non élig.", 0, INDEX($B$25:$E$27, MATCH(M79, $B$25:$B$27, 0), MATCH($D79, $B$25:$E$25, 0)))</f>
        <v>0.25</v>
      </c>
      <c r="F79" s="119">
        <f t="shared" ref="F79" si="32">E79+$D$13</f>
        <v>0.55000000000000004</v>
      </c>
      <c r="G79" s="71">
        <f t="shared" ref="G79:G81" si="33">IF(O79="Non élig.", 0, INDEX($B$25:$E$27, MATCH(O79, $B$25:$B$27, 0), MATCH($D79, $B$25:$E$25, 0)))</f>
        <v>0.15</v>
      </c>
      <c r="H79" s="119">
        <f t="shared" ref="H79" si="34">G79+$D$13</f>
        <v>0.44999999999999996</v>
      </c>
      <c r="I79" s="71">
        <f t="shared" ref="I79:I81" si="35">IF(Q79="Non élig.", 0, INDEX($B$25:$E$27, MATCH(Q79, $B$25:$B$27, 0), MATCH($D79, $B$25:$E$25, 0)))</f>
        <v>0</v>
      </c>
      <c r="J79" s="116"/>
      <c r="K79" s="168"/>
      <c r="L79" s="53" t="s">
        <v>136</v>
      </c>
      <c r="M79" s="69" t="s">
        <v>159</v>
      </c>
      <c r="N79" s="120"/>
      <c r="O79" s="70" t="s">
        <v>160</v>
      </c>
      <c r="P79" s="120"/>
      <c r="Q79" s="121" t="s">
        <v>171</v>
      </c>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c r="BF79" s="116"/>
    </row>
    <row r="80" spans="1:58" s="49" customFormat="1" x14ac:dyDescent="0.35">
      <c r="A80" s="116"/>
      <c r="B80" s="158"/>
      <c r="C80" s="154" t="str">
        <f>_xlfn.CONCAT("&gt;= ", $D$23, " mm")</f>
        <v>&gt;= 700 mm</v>
      </c>
      <c r="D80" s="53" t="s">
        <v>135</v>
      </c>
      <c r="E80" s="71">
        <f t="shared" si="31"/>
        <v>0.4</v>
      </c>
      <c r="F80" s="119">
        <f t="shared" ref="F80" si="36">E80+$D$13</f>
        <v>0.7</v>
      </c>
      <c r="G80" s="71">
        <f t="shared" si="33"/>
        <v>0.4</v>
      </c>
      <c r="H80" s="119">
        <f t="shared" ref="H80" si="37">G80+$D$13</f>
        <v>0.7</v>
      </c>
      <c r="I80" s="71">
        <f t="shared" si="35"/>
        <v>0</v>
      </c>
      <c r="J80" s="116"/>
      <c r="K80" s="167" t="str">
        <f>C80</f>
        <v>&gt;= 700 mm</v>
      </c>
      <c r="L80" s="53" t="s">
        <v>135</v>
      </c>
      <c r="M80" s="69" t="s">
        <v>159</v>
      </c>
      <c r="N80" s="120"/>
      <c r="O80" s="69" t="s">
        <v>159</v>
      </c>
      <c r="P80" s="120"/>
      <c r="Q80" s="121" t="s">
        <v>171</v>
      </c>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c r="BE80" s="116"/>
      <c r="BF80" s="116"/>
    </row>
    <row r="81" spans="1:58" s="49" customFormat="1" x14ac:dyDescent="0.35">
      <c r="A81" s="116"/>
      <c r="B81" s="158"/>
      <c r="C81" s="154"/>
      <c r="D81" s="53" t="s">
        <v>136</v>
      </c>
      <c r="E81" s="71">
        <f t="shared" si="31"/>
        <v>0.25</v>
      </c>
      <c r="F81" s="119">
        <f t="shared" ref="F81" si="38">E81+$D$13</f>
        <v>0.55000000000000004</v>
      </c>
      <c r="G81" s="71">
        <f t="shared" si="33"/>
        <v>0.25</v>
      </c>
      <c r="H81" s="119">
        <f t="shared" ref="H81" si="39">G81+$D$13</f>
        <v>0.55000000000000004</v>
      </c>
      <c r="I81" s="71">
        <f t="shared" si="35"/>
        <v>0</v>
      </c>
      <c r="J81" s="116"/>
      <c r="K81" s="168"/>
      <c r="L81" s="53" t="s">
        <v>136</v>
      </c>
      <c r="M81" s="69" t="s">
        <v>159</v>
      </c>
      <c r="N81" s="120"/>
      <c r="O81" s="69" t="s">
        <v>159</v>
      </c>
      <c r="P81" s="120"/>
      <c r="Q81" s="121" t="s">
        <v>171</v>
      </c>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116"/>
      <c r="AZ81" s="116"/>
      <c r="BA81" s="116"/>
      <c r="BB81" s="116"/>
      <c r="BC81" s="116"/>
      <c r="BD81" s="116"/>
      <c r="BE81" s="116"/>
      <c r="BF81" s="116"/>
    </row>
    <row r="83" spans="1:58" s="56" customFormat="1" x14ac:dyDescent="0.35">
      <c r="A83" s="115"/>
      <c r="B83" s="57" t="s">
        <v>181</v>
      </c>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row>
    <row r="85" spans="1:58" x14ac:dyDescent="0.35">
      <c r="A85" s="116"/>
      <c r="B85" s="179" t="s">
        <v>182</v>
      </c>
      <c r="C85" s="180"/>
      <c r="D85" s="68">
        <v>0.51</v>
      </c>
      <c r="E85" s="116" t="s">
        <v>151</v>
      </c>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row>
    <row r="86" spans="1:58" x14ac:dyDescent="0.35">
      <c r="A86" s="116"/>
      <c r="B86" s="165" t="s">
        <v>155</v>
      </c>
      <c r="C86" s="166"/>
      <c r="D86" s="80">
        <f>D21</f>
        <v>1</v>
      </c>
      <c r="E86" s="116" t="s">
        <v>151</v>
      </c>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c r="BF86" s="116"/>
    </row>
    <row r="88" spans="1:58" x14ac:dyDescent="0.35">
      <c r="A88" s="116"/>
      <c r="B88" s="163" t="s">
        <v>158</v>
      </c>
      <c r="C88" s="164"/>
      <c r="D88" s="50" t="s">
        <v>135</v>
      </c>
      <c r="E88" s="50" t="s">
        <v>136</v>
      </c>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row>
    <row r="89" spans="1:58" x14ac:dyDescent="0.35">
      <c r="A89" s="116"/>
      <c r="B89" s="165" t="s">
        <v>159</v>
      </c>
      <c r="C89" s="166"/>
      <c r="D89" s="62">
        <v>0.4</v>
      </c>
      <c r="E89" s="62">
        <v>0.25</v>
      </c>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c r="BF89" s="116"/>
    </row>
    <row r="90" spans="1:58" x14ac:dyDescent="0.35">
      <c r="A90" s="116"/>
      <c r="B90" s="165" t="s">
        <v>160</v>
      </c>
      <c r="C90" s="166"/>
      <c r="D90" s="62">
        <v>0.2</v>
      </c>
      <c r="E90" s="62">
        <v>0.15</v>
      </c>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c r="BF90" s="116"/>
    </row>
    <row r="92" spans="1:58" s="49" customFormat="1" x14ac:dyDescent="0.35">
      <c r="A92" s="116"/>
      <c r="B92" s="147" t="s">
        <v>161</v>
      </c>
      <c r="C92" s="147"/>
      <c r="D92" s="147"/>
      <c r="E92" s="147"/>
      <c r="F92" s="147"/>
      <c r="G92" s="147"/>
      <c r="H92" s="116"/>
      <c r="I92" s="194" t="s">
        <v>162</v>
      </c>
      <c r="J92" s="194"/>
      <c r="K92" s="65" t="s">
        <v>163</v>
      </c>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c r="BF92" s="124"/>
    </row>
    <row r="93" spans="1:58" s="49" customFormat="1" x14ac:dyDescent="0.35">
      <c r="A93" s="116"/>
      <c r="B93" s="197" t="s">
        <v>183</v>
      </c>
      <c r="C93" s="198"/>
      <c r="D93" s="199"/>
      <c r="E93" s="155" t="s">
        <v>165</v>
      </c>
      <c r="F93" s="156"/>
      <c r="G93" s="157"/>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c r="BA93" s="116"/>
      <c r="BB93" s="116"/>
      <c r="BC93" s="116"/>
      <c r="BD93" s="116"/>
      <c r="BE93" s="116"/>
      <c r="BF93" s="124"/>
    </row>
    <row r="94" spans="1:58" s="49" customFormat="1" ht="30" customHeight="1" x14ac:dyDescent="0.35">
      <c r="A94" s="116"/>
      <c r="B94" s="197"/>
      <c r="C94" s="198"/>
      <c r="D94" s="199"/>
      <c r="E94" s="64" t="str">
        <f>IF(K92="Non", _xlfn.CONCAT("&lt;", $D$15, " t/roue"), _xlfn.CONCAT("&lt;", $D$16, " t/roue"))</f>
        <v>&lt;3,5 t/roue</v>
      </c>
      <c r="F94" s="72" t="str">
        <f>IF(K92="Non", _xlfn.CONCAT("entre ", $D$15, " et ", $D$17, " t/roue"), _xlfn.CONCAT("entre ", $D$16, " et ", $D$17, " t/roue"))</f>
        <v>entre 3,5 et 5 t/roue</v>
      </c>
      <c r="G94" s="64" t="str">
        <f>_xlfn.CONCAT("&gt;", $D$17, " t/roue")</f>
        <v>&gt;5 t/roue</v>
      </c>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24"/>
    </row>
    <row r="95" spans="1:58" s="49" customFormat="1" ht="16.5" customHeight="1" x14ac:dyDescent="0.35">
      <c r="A95" s="116"/>
      <c r="B95" s="151" t="s">
        <v>170</v>
      </c>
      <c r="C95" s="154" t="str">
        <f>_xlfn.CONCAT("&lt;=", $D$85, " kg/cm2")</f>
        <v>&lt;=0,51 kg/cm2</v>
      </c>
      <c r="D95" s="60" t="s">
        <v>135</v>
      </c>
      <c r="E95" s="119">
        <f>F33</f>
        <v>0.7</v>
      </c>
      <c r="F95" s="119">
        <f>H33</f>
        <v>0.5</v>
      </c>
      <c r="G95" s="119">
        <f>I33</f>
        <v>0</v>
      </c>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24"/>
    </row>
    <row r="96" spans="1:58" s="49" customFormat="1" x14ac:dyDescent="0.35">
      <c r="A96" s="116"/>
      <c r="B96" s="152"/>
      <c r="C96" s="154"/>
      <c r="D96" s="60" t="s">
        <v>136</v>
      </c>
      <c r="E96" s="119">
        <f t="shared" ref="E96:E99" si="40">F34</f>
        <v>0.55000000000000004</v>
      </c>
      <c r="F96" s="119">
        <f t="shared" ref="F96:G96" si="41">H34</f>
        <v>0.44999999999999996</v>
      </c>
      <c r="G96" s="119">
        <f t="shared" si="41"/>
        <v>0</v>
      </c>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24"/>
    </row>
    <row r="97" spans="1:57" s="49" customFormat="1" x14ac:dyDescent="0.35">
      <c r="A97" s="116"/>
      <c r="B97" s="152"/>
      <c r="C97" s="154" t="str">
        <f>_xlfn.CONCAT("entre ", $D$85, " et ", $D$86, " kg/cm2")</f>
        <v>entre 0,51 et 1 kg/cm2</v>
      </c>
      <c r="D97" s="60" t="s">
        <v>135</v>
      </c>
      <c r="E97" s="119">
        <f t="shared" si="40"/>
        <v>0.5</v>
      </c>
      <c r="F97" s="119">
        <f t="shared" ref="F97:G97" si="42">H35</f>
        <v>0.5</v>
      </c>
      <c r="G97" s="119">
        <f t="shared" si="42"/>
        <v>0</v>
      </c>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row>
    <row r="98" spans="1:57" s="49" customFormat="1" x14ac:dyDescent="0.35">
      <c r="A98" s="116"/>
      <c r="B98" s="152"/>
      <c r="C98" s="154"/>
      <c r="D98" s="60" t="s">
        <v>136</v>
      </c>
      <c r="E98" s="119">
        <f t="shared" si="40"/>
        <v>0.44999999999999996</v>
      </c>
      <c r="F98" s="119">
        <f t="shared" ref="F98:G98" si="43">H36</f>
        <v>0.44999999999999996</v>
      </c>
      <c r="G98" s="119">
        <f t="shared" si="43"/>
        <v>0</v>
      </c>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row>
    <row r="99" spans="1:57" s="49" customFormat="1" x14ac:dyDescent="0.35">
      <c r="A99" s="116"/>
      <c r="B99" s="153"/>
      <c r="C99" s="66" t="str">
        <f>_xlfn.CONCAT("&gt;", $D$86, " kg/cm2")</f>
        <v>&gt;1 kg/cm2</v>
      </c>
      <c r="D99" s="61"/>
      <c r="E99" s="119">
        <f t="shared" si="40"/>
        <v>0</v>
      </c>
      <c r="F99" s="119">
        <f t="shared" ref="F99:G99" si="44">H37</f>
        <v>0</v>
      </c>
      <c r="G99" s="119">
        <f t="shared" si="44"/>
        <v>0</v>
      </c>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row>
    <row r="101" spans="1:57" s="49" customFormat="1" ht="66" customHeight="1" x14ac:dyDescent="0.35">
      <c r="A101" s="116"/>
      <c r="B101" s="147" t="s">
        <v>184</v>
      </c>
      <c r="C101" s="147"/>
      <c r="D101" s="147"/>
      <c r="E101" s="147"/>
      <c r="F101" s="116"/>
      <c r="G101" s="51" t="s">
        <v>162</v>
      </c>
      <c r="H101" s="122"/>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row>
    <row r="102" spans="1:57" s="49" customFormat="1" x14ac:dyDescent="0.35">
      <c r="A102" s="116"/>
      <c r="B102" s="181" t="s">
        <v>183</v>
      </c>
      <c r="C102" s="181"/>
      <c r="D102" s="59"/>
      <c r="E102" s="118"/>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row>
    <row r="103" spans="1:57" s="49" customFormat="1" x14ac:dyDescent="0.35">
      <c r="A103" s="116"/>
      <c r="B103" s="181" t="s">
        <v>170</v>
      </c>
      <c r="C103" s="154" t="str">
        <f>_xlfn.CONCAT("&lt;=", $D$85, " kg/cm2")</f>
        <v>&lt;=0,51 kg/cm2</v>
      </c>
      <c r="D103" s="53" t="s">
        <v>135</v>
      </c>
      <c r="E103" s="119">
        <f>F41</f>
        <v>0.7</v>
      </c>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row>
    <row r="104" spans="1:57" s="49" customFormat="1" x14ac:dyDescent="0.35">
      <c r="A104" s="116"/>
      <c r="B104" s="181"/>
      <c r="C104" s="154"/>
      <c r="D104" s="53" t="s">
        <v>136</v>
      </c>
      <c r="E104" s="119">
        <f t="shared" ref="E104:E107" si="45">F42</f>
        <v>0.55000000000000004</v>
      </c>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row>
    <row r="105" spans="1:57" s="49" customFormat="1" ht="15" customHeight="1" x14ac:dyDescent="0.35">
      <c r="A105" s="116"/>
      <c r="B105" s="181"/>
      <c r="C105" s="154" t="str">
        <f>_xlfn.CONCAT("entre ", $D$85, " et ", $D$86, " kg/cm2")</f>
        <v>entre 0,51 et 1 kg/cm2</v>
      </c>
      <c r="D105" s="53" t="s">
        <v>135</v>
      </c>
      <c r="E105" s="119">
        <f t="shared" si="45"/>
        <v>0.5</v>
      </c>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row>
    <row r="106" spans="1:57" s="49" customFormat="1" x14ac:dyDescent="0.35">
      <c r="A106" s="116"/>
      <c r="B106" s="181"/>
      <c r="C106" s="154"/>
      <c r="D106" s="53" t="s">
        <v>136</v>
      </c>
      <c r="E106" s="119">
        <f t="shared" si="45"/>
        <v>0.44999999999999996</v>
      </c>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6"/>
      <c r="AZ106" s="116"/>
      <c r="BA106" s="116"/>
      <c r="BB106" s="116"/>
      <c r="BC106" s="116"/>
      <c r="BD106" s="116"/>
      <c r="BE106" s="116"/>
    </row>
    <row r="107" spans="1:57" s="49" customFormat="1" x14ac:dyDescent="0.35">
      <c r="A107" s="116"/>
      <c r="B107" s="181"/>
      <c r="C107" s="66" t="str">
        <f>_xlfn.CONCAT("&gt;", $D$86, " kg/cm2")</f>
        <v>&gt;1 kg/cm2</v>
      </c>
      <c r="D107" s="58"/>
      <c r="E107" s="119">
        <f t="shared" si="45"/>
        <v>0</v>
      </c>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row>
    <row r="109" spans="1:57" s="49" customFormat="1" x14ac:dyDescent="0.35">
      <c r="A109" s="116"/>
      <c r="B109" s="147" t="s">
        <v>185</v>
      </c>
      <c r="C109" s="147"/>
      <c r="D109" s="147"/>
      <c r="E109" s="147"/>
      <c r="F109" s="147"/>
      <c r="G109" s="147"/>
      <c r="H109" s="116"/>
      <c r="I109" s="194" t="s">
        <v>162</v>
      </c>
      <c r="J109" s="194"/>
      <c r="K109" s="65" t="s">
        <v>174</v>
      </c>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row>
    <row r="110" spans="1:57" s="49" customFormat="1" x14ac:dyDescent="0.35">
      <c r="A110" s="116"/>
      <c r="B110" s="148" t="s">
        <v>183</v>
      </c>
      <c r="C110" s="149"/>
      <c r="D110" s="150"/>
      <c r="E110" s="155" t="s">
        <v>165</v>
      </c>
      <c r="F110" s="156"/>
      <c r="G110" s="157"/>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row>
    <row r="111" spans="1:57" s="49" customFormat="1" ht="29" x14ac:dyDescent="0.35">
      <c r="A111" s="116"/>
      <c r="B111" s="148"/>
      <c r="C111" s="149"/>
      <c r="D111" s="150"/>
      <c r="E111" s="64" t="str">
        <f>IF(K109="Non", _xlfn.CONCAT("&lt;", $D$15, " t/roue"), _xlfn.CONCAT("&lt;", $D$16, " t/roue"))</f>
        <v>&lt;4 t/roue</v>
      </c>
      <c r="F111" s="72" t="str">
        <f>IF(K109="Non", _xlfn.CONCAT("entre ", $D$15, " et ", $D$17, " t/roue"), _xlfn.CONCAT("entre ", $D$16, " et ", $D$17, " t/roue"))</f>
        <v>entre 4 et 5 t/roue</v>
      </c>
      <c r="G111" s="64" t="str">
        <f>_xlfn.CONCAT("&gt;", $D$17, " t/roue")</f>
        <v>&gt;5 t/roue</v>
      </c>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row>
    <row r="112" spans="1:57" s="49" customFormat="1" ht="16.5" customHeight="1" x14ac:dyDescent="0.35">
      <c r="A112" s="116"/>
      <c r="B112" s="151" t="s">
        <v>170</v>
      </c>
      <c r="C112" s="154" t="str">
        <f>_xlfn.CONCAT("&lt;=", $D$85, " kg/cm2")</f>
        <v>&lt;=0,51 kg/cm2</v>
      </c>
      <c r="D112" s="60" t="s">
        <v>135</v>
      </c>
      <c r="E112" s="119">
        <f>F51</f>
        <v>0.7</v>
      </c>
      <c r="F112" s="119">
        <f>H51</f>
        <v>0.5</v>
      </c>
      <c r="G112" s="119">
        <f>I51</f>
        <v>0</v>
      </c>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row>
    <row r="113" spans="1:58" s="49" customFormat="1" x14ac:dyDescent="0.35">
      <c r="A113" s="116"/>
      <c r="B113" s="152"/>
      <c r="C113" s="154"/>
      <c r="D113" s="60" t="s">
        <v>136</v>
      </c>
      <c r="E113" s="119">
        <f t="shared" ref="E113:E116" si="46">F52</f>
        <v>0.55000000000000004</v>
      </c>
      <c r="F113" s="119">
        <f t="shared" ref="F113:G113" si="47">H52</f>
        <v>0.44999999999999996</v>
      </c>
      <c r="G113" s="119">
        <f t="shared" si="47"/>
        <v>0</v>
      </c>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c r="BF113" s="124"/>
    </row>
    <row r="114" spans="1:58" s="49" customFormat="1" x14ac:dyDescent="0.35">
      <c r="A114" s="116"/>
      <c r="B114" s="152"/>
      <c r="C114" s="154" t="str">
        <f>_xlfn.CONCAT("entre ", $D$85, " et ", $D$86, " kg/cm2")</f>
        <v>entre 0,51 et 1 kg/cm2</v>
      </c>
      <c r="D114" s="60" t="s">
        <v>135</v>
      </c>
      <c r="E114" s="119">
        <f t="shared" si="46"/>
        <v>0.5</v>
      </c>
      <c r="F114" s="119">
        <f t="shared" ref="F114:G114" si="48">H53</f>
        <v>0.5</v>
      </c>
      <c r="G114" s="119">
        <f t="shared" si="48"/>
        <v>0</v>
      </c>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116"/>
      <c r="AZ114" s="116"/>
      <c r="BA114" s="116"/>
      <c r="BB114" s="116"/>
      <c r="BC114" s="116"/>
      <c r="BD114" s="116"/>
      <c r="BE114" s="116"/>
      <c r="BF114" s="124"/>
    </row>
    <row r="115" spans="1:58" s="49" customFormat="1" x14ac:dyDescent="0.35">
      <c r="A115" s="116"/>
      <c r="B115" s="152"/>
      <c r="C115" s="154"/>
      <c r="D115" s="60" t="s">
        <v>136</v>
      </c>
      <c r="E115" s="119">
        <f t="shared" si="46"/>
        <v>0.44999999999999996</v>
      </c>
      <c r="F115" s="119">
        <f t="shared" ref="F115:G115" si="49">H54</f>
        <v>0.44999999999999996</v>
      </c>
      <c r="G115" s="119">
        <f t="shared" si="49"/>
        <v>0</v>
      </c>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c r="BF115" s="124"/>
    </row>
    <row r="116" spans="1:58" s="49" customFormat="1" x14ac:dyDescent="0.35">
      <c r="A116" s="116"/>
      <c r="B116" s="153"/>
      <c r="C116" s="66" t="str">
        <f>_xlfn.CONCAT("&gt;", $D$86, " kg/cm2")</f>
        <v>&gt;1 kg/cm2</v>
      </c>
      <c r="D116" s="61"/>
      <c r="E116" s="119">
        <f t="shared" si="46"/>
        <v>0</v>
      </c>
      <c r="F116" s="119">
        <f t="shared" ref="F116:G116" si="50">H55</f>
        <v>0</v>
      </c>
      <c r="G116" s="119">
        <f t="shared" si="50"/>
        <v>0</v>
      </c>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c r="BF116" s="124"/>
    </row>
    <row r="118" spans="1:58" s="49" customFormat="1" ht="15" customHeight="1" x14ac:dyDescent="0.35">
      <c r="A118" s="116"/>
      <c r="B118" s="162" t="s">
        <v>175</v>
      </c>
      <c r="C118" s="162"/>
      <c r="D118" s="162"/>
      <c r="E118" s="162"/>
      <c r="F118" s="116"/>
      <c r="G118" s="195" t="s">
        <v>166</v>
      </c>
      <c r="H118" s="196"/>
      <c r="I118" s="65" t="s">
        <v>174</v>
      </c>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c r="BF118" s="116"/>
    </row>
    <row r="119" spans="1:58" s="49" customFormat="1" x14ac:dyDescent="0.35">
      <c r="A119" s="116"/>
      <c r="B119" s="161" t="s">
        <v>183</v>
      </c>
      <c r="C119" s="161"/>
      <c r="D119" s="161"/>
      <c r="E119" s="58"/>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24"/>
      <c r="BD119" s="124"/>
      <c r="BE119" s="124"/>
      <c r="BF119" s="124"/>
    </row>
    <row r="120" spans="1:58" s="49" customFormat="1" ht="15.65" customHeight="1" x14ac:dyDescent="0.35">
      <c r="A120" s="116"/>
      <c r="B120" s="158" t="s">
        <v>170</v>
      </c>
      <c r="C120" s="154" t="str">
        <f>_xlfn.CONCAT("&lt;=", $D$85, " kg/cm2")</f>
        <v>&lt;=0,51 kg/cm2</v>
      </c>
      <c r="D120" s="53" t="s">
        <v>135</v>
      </c>
      <c r="E120" s="71">
        <f>F59</f>
        <v>0.7</v>
      </c>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24"/>
      <c r="BD120" s="124"/>
      <c r="BE120" s="124"/>
      <c r="BF120" s="124"/>
    </row>
    <row r="121" spans="1:58" s="49" customFormat="1" x14ac:dyDescent="0.35">
      <c r="A121" s="116"/>
      <c r="B121" s="158"/>
      <c r="C121" s="154"/>
      <c r="D121" s="53" t="s">
        <v>136</v>
      </c>
      <c r="E121" s="71">
        <f t="shared" ref="E121:E124" si="51">F60</f>
        <v>0.55000000000000004</v>
      </c>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24"/>
      <c r="BD121" s="124"/>
      <c r="BE121" s="124"/>
      <c r="BF121" s="124"/>
    </row>
    <row r="122" spans="1:58" s="49" customFormat="1" ht="15.65" customHeight="1" x14ac:dyDescent="0.35">
      <c r="A122" s="116"/>
      <c r="B122" s="158"/>
      <c r="C122" s="154" t="str">
        <f>_xlfn.CONCAT("entre ", $D$85, " et ", $D$86, " kg/cm2")</f>
        <v>entre 0,51 et 1 kg/cm2</v>
      </c>
      <c r="D122" s="53" t="s">
        <v>135</v>
      </c>
      <c r="E122" s="71">
        <f t="shared" si="51"/>
        <v>0.5</v>
      </c>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24"/>
      <c r="BD122" s="124"/>
      <c r="BE122" s="124"/>
      <c r="BF122" s="124"/>
    </row>
    <row r="123" spans="1:58" s="49" customFormat="1" x14ac:dyDescent="0.35">
      <c r="A123" s="116"/>
      <c r="B123" s="158"/>
      <c r="C123" s="154"/>
      <c r="D123" s="53" t="s">
        <v>136</v>
      </c>
      <c r="E123" s="71">
        <f t="shared" si="51"/>
        <v>0.44999999999999996</v>
      </c>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24"/>
      <c r="BD123" s="124"/>
      <c r="BE123" s="124"/>
      <c r="BF123" s="124"/>
    </row>
    <row r="124" spans="1:58" s="49" customFormat="1" x14ac:dyDescent="0.35">
      <c r="A124" s="116"/>
      <c r="B124" s="158"/>
      <c r="C124" s="66" t="str">
        <f>_xlfn.CONCAT("&gt;", $D$86, " kg/cm2")</f>
        <v>&gt;1 kg/cm2</v>
      </c>
      <c r="D124" s="122"/>
      <c r="E124" s="71">
        <f t="shared" si="51"/>
        <v>0</v>
      </c>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24"/>
      <c r="BD124" s="124"/>
      <c r="BE124" s="124"/>
      <c r="BF124" s="124"/>
    </row>
    <row r="126" spans="1:58" x14ac:dyDescent="0.35">
      <c r="A126" s="116"/>
      <c r="B126" s="146"/>
      <c r="C126" s="146"/>
      <c r="D126" s="146"/>
      <c r="E126" s="146"/>
      <c r="F126" s="146"/>
      <c r="G126" s="146"/>
      <c r="H126" s="146"/>
      <c r="I126" s="146"/>
      <c r="J126" s="146"/>
      <c r="K126" s="146"/>
      <c r="L126" s="14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c r="BF126" s="116"/>
    </row>
    <row r="127" spans="1:58" s="49" customFormat="1" x14ac:dyDescent="0.35">
      <c r="A127" s="116"/>
      <c r="B127" s="146"/>
      <c r="C127" s="146"/>
      <c r="D127" s="146"/>
      <c r="E127" s="146"/>
      <c r="F127" s="146"/>
      <c r="G127" s="146"/>
      <c r="H127" s="146"/>
      <c r="I127" s="146"/>
      <c r="J127" s="146"/>
      <c r="K127" s="146"/>
      <c r="L127" s="14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c r="BF127" s="116"/>
    </row>
    <row r="128" spans="1:58" s="49" customFormat="1" x14ac:dyDescent="0.35">
      <c r="A128" s="116"/>
      <c r="B128" s="146"/>
      <c r="C128" s="146"/>
      <c r="D128" s="146"/>
      <c r="E128" s="146"/>
      <c r="F128" s="146"/>
      <c r="G128" s="146"/>
      <c r="H128" s="146"/>
      <c r="I128" s="146"/>
      <c r="J128" s="146"/>
      <c r="K128" s="146"/>
      <c r="L128" s="14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6"/>
      <c r="BF128" s="116"/>
    </row>
    <row r="129" spans="1:58" s="49" customFormat="1" x14ac:dyDescent="0.35">
      <c r="A129" s="116"/>
      <c r="B129" s="146"/>
      <c r="C129" s="146"/>
      <c r="D129" s="146"/>
      <c r="E129" s="146"/>
      <c r="F129" s="146"/>
      <c r="G129" s="146"/>
      <c r="H129" s="146"/>
      <c r="I129" s="146"/>
      <c r="J129" s="146"/>
      <c r="K129" s="146"/>
      <c r="L129" s="14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c r="BF129" s="116"/>
    </row>
    <row r="130" spans="1:58" s="49" customFormat="1" x14ac:dyDescent="0.35">
      <c r="A130" s="116"/>
      <c r="B130" s="146"/>
      <c r="C130" s="146"/>
      <c r="D130" s="146"/>
      <c r="E130" s="146"/>
      <c r="F130" s="146"/>
      <c r="G130" s="146"/>
      <c r="H130" s="146"/>
      <c r="I130" s="146"/>
      <c r="J130" s="146"/>
      <c r="K130" s="146"/>
      <c r="L130" s="14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row>
    <row r="131" spans="1:58" s="49" customFormat="1" x14ac:dyDescent="0.35">
      <c r="A131" s="116"/>
      <c r="B131" s="146"/>
      <c r="C131" s="146"/>
      <c r="D131" s="146"/>
      <c r="E131" s="146"/>
      <c r="F131" s="146"/>
      <c r="G131" s="146"/>
      <c r="H131" s="146"/>
      <c r="I131" s="146"/>
      <c r="J131" s="146"/>
      <c r="K131" s="146"/>
      <c r="L131" s="14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c r="BF131" s="116"/>
    </row>
    <row r="132" spans="1:58" s="49" customFormat="1" x14ac:dyDescent="0.35">
      <c r="A132" s="116"/>
      <c r="B132" s="146"/>
      <c r="C132" s="146"/>
      <c r="D132" s="146"/>
      <c r="E132" s="146"/>
      <c r="F132" s="146"/>
      <c r="G132" s="146"/>
      <c r="H132" s="146"/>
      <c r="I132" s="146"/>
      <c r="J132" s="146"/>
      <c r="K132" s="146"/>
      <c r="L132" s="14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c r="AY132" s="116"/>
      <c r="AZ132" s="116"/>
      <c r="BA132" s="116"/>
      <c r="BB132" s="116"/>
      <c r="BC132" s="116"/>
      <c r="BD132" s="116"/>
      <c r="BE132" s="116"/>
      <c r="BF132" s="116"/>
    </row>
    <row r="133" spans="1:58" s="49" customFormat="1" x14ac:dyDescent="0.35">
      <c r="A133" s="116"/>
      <c r="B133" s="146"/>
      <c r="C133" s="146"/>
      <c r="D133" s="146"/>
      <c r="E133" s="146"/>
      <c r="F133" s="146"/>
      <c r="G133" s="146"/>
      <c r="H133" s="146"/>
      <c r="I133" s="146"/>
      <c r="J133" s="146"/>
      <c r="K133" s="146"/>
      <c r="L133" s="14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c r="AY133" s="116"/>
      <c r="AZ133" s="116"/>
      <c r="BA133" s="116"/>
      <c r="BB133" s="116"/>
      <c r="BC133" s="116"/>
      <c r="BD133" s="116"/>
      <c r="BE133" s="116"/>
      <c r="BF133" s="116"/>
    </row>
    <row r="134" spans="1:58" s="49" customFormat="1" x14ac:dyDescent="0.35">
      <c r="A134" s="116"/>
      <c r="B134" s="146"/>
      <c r="C134" s="146"/>
      <c r="D134" s="146"/>
      <c r="E134" s="146"/>
      <c r="F134" s="146"/>
      <c r="G134" s="146"/>
      <c r="H134" s="146"/>
      <c r="I134" s="146"/>
      <c r="J134" s="146"/>
      <c r="K134" s="146"/>
      <c r="L134" s="14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c r="BB134" s="116"/>
      <c r="BC134" s="116"/>
      <c r="BD134" s="116"/>
      <c r="BE134" s="116"/>
      <c r="BF134" s="116"/>
    </row>
    <row r="135" spans="1:58" s="49" customFormat="1" x14ac:dyDescent="0.35">
      <c r="A135" s="116"/>
      <c r="B135" s="146"/>
      <c r="C135" s="146"/>
      <c r="D135" s="146"/>
      <c r="E135" s="146"/>
      <c r="F135" s="146"/>
      <c r="G135" s="146"/>
      <c r="H135" s="146"/>
      <c r="I135" s="146"/>
      <c r="J135" s="146"/>
      <c r="K135" s="146"/>
      <c r="L135" s="14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c r="BF135" s="116"/>
    </row>
    <row r="136" spans="1:58" s="49" customFormat="1" x14ac:dyDescent="0.35">
      <c r="A136" s="116"/>
      <c r="B136" s="146"/>
      <c r="C136" s="146"/>
      <c r="D136" s="146"/>
      <c r="E136" s="146"/>
      <c r="F136" s="146"/>
      <c r="G136" s="146"/>
      <c r="H136" s="146"/>
      <c r="I136" s="146"/>
      <c r="J136" s="146"/>
      <c r="K136" s="146"/>
      <c r="L136" s="14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c r="AY136" s="116"/>
      <c r="AZ136" s="116"/>
      <c r="BA136" s="116"/>
      <c r="BB136" s="116"/>
      <c r="BC136" s="116"/>
      <c r="BD136" s="116"/>
      <c r="BE136" s="116"/>
      <c r="BF136" s="116"/>
    </row>
  </sheetData>
  <sheetProtection algorithmName="SHA-512" hashValue="MvKN68ta/U9DM1fDv08w9SAxtXcUNkU0zaBHqt5tLe5H5q2eaHyMTYtFV97w5JxElflUQq0micFi6TpQqd5KPg==" saltValue="BVw9g7vJO5zOe4dbL3lryQ==" spinCount="100000" sheet="1" objects="1" scenarios="1"/>
  <mergeCells count="106">
    <mergeCell ref="I92:J92"/>
    <mergeCell ref="I109:J109"/>
    <mergeCell ref="B119:D119"/>
    <mergeCell ref="B118:E118"/>
    <mergeCell ref="G118:H118"/>
    <mergeCell ref="B85:C85"/>
    <mergeCell ref="B86:C86"/>
    <mergeCell ref="B88:C88"/>
    <mergeCell ref="B89:C89"/>
    <mergeCell ref="B101:E101"/>
    <mergeCell ref="B102:C102"/>
    <mergeCell ref="B103:B107"/>
    <mergeCell ref="C103:C104"/>
    <mergeCell ref="C105:C106"/>
    <mergeCell ref="B90:C90"/>
    <mergeCell ref="B92:G92"/>
    <mergeCell ref="B93:D94"/>
    <mergeCell ref="B95:B99"/>
    <mergeCell ref="C95:C96"/>
    <mergeCell ref="C97:C98"/>
    <mergeCell ref="E93:G93"/>
    <mergeCell ref="Q15:T15"/>
    <mergeCell ref="Q16:T26"/>
    <mergeCell ref="K78:K79"/>
    <mergeCell ref="K80:K81"/>
    <mergeCell ref="K59:K60"/>
    <mergeCell ref="K61:K62"/>
    <mergeCell ref="K41:K42"/>
    <mergeCell ref="K43:K44"/>
    <mergeCell ref="K50:L50"/>
    <mergeCell ref="K58:L58"/>
    <mergeCell ref="K68:L68"/>
    <mergeCell ref="K77:L77"/>
    <mergeCell ref="K35:K36"/>
    <mergeCell ref="K51:K52"/>
    <mergeCell ref="K53:K54"/>
    <mergeCell ref="K69:K70"/>
    <mergeCell ref="K71:K72"/>
    <mergeCell ref="K40:L40"/>
    <mergeCell ref="B25:C25"/>
    <mergeCell ref="B9:C9"/>
    <mergeCell ref="K33:K34"/>
    <mergeCell ref="B8:C8"/>
    <mergeCell ref="B26:C26"/>
    <mergeCell ref="B27:C27"/>
    <mergeCell ref="K32:L32"/>
    <mergeCell ref="L16:O26"/>
    <mergeCell ref="B21:C21"/>
    <mergeCell ref="B23:C23"/>
    <mergeCell ref="B15:C15"/>
    <mergeCell ref="B16:C16"/>
    <mergeCell ref="B19:C19"/>
    <mergeCell ref="B20:C20"/>
    <mergeCell ref="B33:B37"/>
    <mergeCell ref="C33:C34"/>
    <mergeCell ref="C35:C36"/>
    <mergeCell ref="B29:I29"/>
    <mergeCell ref="B30:D32"/>
    <mergeCell ref="E30:I30"/>
    <mergeCell ref="E31:F31"/>
    <mergeCell ref="G31:H31"/>
    <mergeCell ref="L15:O15"/>
    <mergeCell ref="B39:F39"/>
    <mergeCell ref="B41:B45"/>
    <mergeCell ref="C41:C42"/>
    <mergeCell ref="C43:C44"/>
    <mergeCell ref="B40:D40"/>
    <mergeCell ref="B65:I65"/>
    <mergeCell ref="B47:I47"/>
    <mergeCell ref="E48:I48"/>
    <mergeCell ref="E49:F49"/>
    <mergeCell ref="G49:H49"/>
    <mergeCell ref="B51:B55"/>
    <mergeCell ref="C51:C52"/>
    <mergeCell ref="C53:C54"/>
    <mergeCell ref="B48:D50"/>
    <mergeCell ref="B58:D58"/>
    <mergeCell ref="B57:F57"/>
    <mergeCell ref="B59:B63"/>
    <mergeCell ref="C59:C60"/>
    <mergeCell ref="C61:C62"/>
    <mergeCell ref="B78:B81"/>
    <mergeCell ref="C78:C79"/>
    <mergeCell ref="C80:C81"/>
    <mergeCell ref="E66:I66"/>
    <mergeCell ref="E67:F67"/>
    <mergeCell ref="G67:H67"/>
    <mergeCell ref="B69:B72"/>
    <mergeCell ref="C69:C70"/>
    <mergeCell ref="C71:C72"/>
    <mergeCell ref="B66:D68"/>
    <mergeCell ref="B75:D77"/>
    <mergeCell ref="B74:I74"/>
    <mergeCell ref="E75:I75"/>
    <mergeCell ref="E76:F76"/>
    <mergeCell ref="G76:H76"/>
    <mergeCell ref="B126:L136"/>
    <mergeCell ref="B109:G109"/>
    <mergeCell ref="B110:D111"/>
    <mergeCell ref="B112:B116"/>
    <mergeCell ref="C112:C113"/>
    <mergeCell ref="C114:C115"/>
    <mergeCell ref="E110:G110"/>
    <mergeCell ref="B120:B124"/>
    <mergeCell ref="C120:C121"/>
    <mergeCell ref="C122:C123"/>
  </mergeCells>
  <conditionalFormatting sqref="M41:M42">
    <cfRule type="uniqueValues" dxfId="3" priority="2"/>
  </conditionalFormatting>
  <conditionalFormatting sqref="M59:M60">
    <cfRule type="uniqueValues" dxfId="2" priority="3"/>
  </conditionalFormatting>
  <conditionalFormatting sqref="M78:M81">
    <cfRule type="uniqueValues" dxfId="1" priority="5"/>
  </conditionalFormatting>
  <conditionalFormatting sqref="O80:O81">
    <cfRule type="uniqueValues" dxfId="0" priority="4"/>
  </conditionalFormatting>
  <dataValidations count="1">
    <dataValidation type="list" allowBlank="1" showInputMessage="1" showErrorMessage="1" sqref="L29:L30 L47:L48 I40 L65:L66 L74:L75 I58 K92 K109 I118" xr:uid="{E58D4302-E16A-4029-827E-492CC7C7689D}">
      <formula1>"Non, Oui"</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F8ACB-D5FD-483B-A3AE-CBAC1913CBE0}">
  <sheetPr codeName="Feuil4">
    <tabColor theme="6"/>
  </sheetPr>
  <dimension ref="B1:F28"/>
  <sheetViews>
    <sheetView zoomScale="94" workbookViewId="0">
      <selection activeCell="D25" sqref="D25"/>
    </sheetView>
  </sheetViews>
  <sheetFormatPr baseColWidth="10" defaultColWidth="11.453125" defaultRowHeight="14.5" x14ac:dyDescent="0.35"/>
  <cols>
    <col min="1" max="1" width="11.453125" style="41"/>
    <col min="2" max="2" width="10.7265625" style="41" customWidth="1"/>
    <col min="3" max="3" width="81.453125" style="42" customWidth="1"/>
    <col min="4" max="4" width="26.453125" style="42" bestFit="1" customWidth="1"/>
    <col min="5" max="6" width="26.1796875" style="41" bestFit="1" customWidth="1"/>
    <col min="7" max="16384" width="11.453125" style="41"/>
  </cols>
  <sheetData>
    <row r="1" spans="2:6" s="56" customFormat="1" x14ac:dyDescent="0.35">
      <c r="B1" s="57" t="s">
        <v>130</v>
      </c>
      <c r="C1" s="115"/>
      <c r="D1" s="115"/>
      <c r="E1" s="115"/>
      <c r="F1" s="115"/>
    </row>
    <row r="2" spans="2:6" s="55" customFormat="1" x14ac:dyDescent="0.35">
      <c r="B2" s="116"/>
      <c r="C2" s="116"/>
      <c r="D2" s="116"/>
      <c r="E2" s="116"/>
      <c r="F2" s="116"/>
    </row>
    <row r="3" spans="2:6" s="55" customFormat="1" x14ac:dyDescent="0.35">
      <c r="B3" s="63" t="s">
        <v>131</v>
      </c>
      <c r="C3" s="116"/>
      <c r="D3" s="116"/>
      <c r="E3" s="116"/>
      <c r="F3" s="116"/>
    </row>
    <row r="4" spans="2:6" s="55" customFormat="1" x14ac:dyDescent="0.35">
      <c r="B4" s="87" t="s">
        <v>132</v>
      </c>
      <c r="C4" s="116"/>
      <c r="D4" s="116"/>
      <c r="E4" s="116"/>
      <c r="F4" s="116"/>
    </row>
    <row r="5" spans="2:6" s="55" customFormat="1" x14ac:dyDescent="0.35">
      <c r="B5" s="116"/>
      <c r="C5" s="116"/>
      <c r="D5" s="116"/>
      <c r="E5" s="116"/>
      <c r="F5" s="116"/>
    </row>
    <row r="6" spans="2:6" x14ac:dyDescent="0.35">
      <c r="B6" s="43" t="s">
        <v>61</v>
      </c>
      <c r="C6" s="43" t="s">
        <v>74</v>
      </c>
      <c r="D6" s="74" t="s">
        <v>186</v>
      </c>
      <c r="E6" s="74" t="s">
        <v>187</v>
      </c>
      <c r="F6" s="74" t="s">
        <v>60</v>
      </c>
    </row>
    <row r="7" spans="2:6" s="42" customFormat="1" x14ac:dyDescent="0.35">
      <c r="B7" s="79">
        <v>1</v>
      </c>
      <c r="C7" s="39" t="s">
        <v>77</v>
      </c>
      <c r="D7" s="125" t="s">
        <v>163</v>
      </c>
      <c r="E7" s="125" t="s">
        <v>163</v>
      </c>
      <c r="F7" s="125" t="s">
        <v>188</v>
      </c>
    </row>
    <row r="8" spans="2:6" s="42" customFormat="1" x14ac:dyDescent="0.35">
      <c r="B8" s="79">
        <v>1</v>
      </c>
      <c r="C8" s="44" t="s">
        <v>87</v>
      </c>
      <c r="D8" s="125" t="s">
        <v>163</v>
      </c>
      <c r="E8" s="125" t="s">
        <v>163</v>
      </c>
      <c r="F8" s="125" t="s">
        <v>188</v>
      </c>
    </row>
    <row r="9" spans="2:6" s="42" customFormat="1" x14ac:dyDescent="0.35">
      <c r="B9" s="79">
        <v>1</v>
      </c>
      <c r="C9" s="44" t="s">
        <v>80</v>
      </c>
      <c r="D9" s="125" t="s">
        <v>188</v>
      </c>
      <c r="E9" s="125" t="s">
        <v>163</v>
      </c>
      <c r="F9" s="125" t="s">
        <v>188</v>
      </c>
    </row>
    <row r="10" spans="2:6" s="42" customFormat="1" x14ac:dyDescent="0.35">
      <c r="B10" s="79">
        <v>1</v>
      </c>
      <c r="C10" s="44" t="s">
        <v>82</v>
      </c>
      <c r="D10" s="125" t="s">
        <v>188</v>
      </c>
      <c r="E10" s="125" t="s">
        <v>163</v>
      </c>
      <c r="F10" s="125" t="s">
        <v>188</v>
      </c>
    </row>
    <row r="11" spans="2:6" s="42" customFormat="1" x14ac:dyDescent="0.35">
      <c r="B11" s="79">
        <v>1</v>
      </c>
      <c r="C11" s="44" t="s">
        <v>89</v>
      </c>
      <c r="D11" s="125" t="s">
        <v>188</v>
      </c>
      <c r="E11" s="125" t="s">
        <v>163</v>
      </c>
      <c r="F11" s="125" t="s">
        <v>188</v>
      </c>
    </row>
    <row r="12" spans="2:6" s="42" customFormat="1" x14ac:dyDescent="0.35">
      <c r="B12" s="79">
        <v>1</v>
      </c>
      <c r="C12" s="44" t="s">
        <v>81</v>
      </c>
      <c r="D12" s="125" t="s">
        <v>174</v>
      </c>
      <c r="E12" s="125" t="s">
        <v>174</v>
      </c>
      <c r="F12" s="125" t="s">
        <v>188</v>
      </c>
    </row>
    <row r="13" spans="2:6" s="42" customFormat="1" x14ac:dyDescent="0.35">
      <c r="B13" s="79">
        <v>1</v>
      </c>
      <c r="C13" s="44" t="s">
        <v>84</v>
      </c>
      <c r="D13" s="125" t="s">
        <v>163</v>
      </c>
      <c r="E13" s="125" t="s">
        <v>188</v>
      </c>
      <c r="F13" s="125" t="s">
        <v>174</v>
      </c>
    </row>
    <row r="14" spans="2:6" s="42" customFormat="1" x14ac:dyDescent="0.35">
      <c r="B14" s="79">
        <v>1</v>
      </c>
      <c r="C14" s="44" t="s">
        <v>86</v>
      </c>
      <c r="D14" s="125" t="s">
        <v>163</v>
      </c>
      <c r="E14" s="125" t="s">
        <v>188</v>
      </c>
      <c r="F14" s="125" t="s">
        <v>174</v>
      </c>
    </row>
    <row r="15" spans="2:6" s="42" customFormat="1" ht="29" x14ac:dyDescent="0.35">
      <c r="B15" s="79">
        <v>1</v>
      </c>
      <c r="C15" s="44" t="s">
        <v>91</v>
      </c>
      <c r="D15" s="125" t="s">
        <v>174</v>
      </c>
      <c r="E15" s="125" t="s">
        <v>188</v>
      </c>
      <c r="F15" s="125" t="s">
        <v>174</v>
      </c>
    </row>
    <row r="17" spans="2:6" x14ac:dyDescent="0.35">
      <c r="B17" s="43" t="s">
        <v>20</v>
      </c>
      <c r="C17" s="43" t="s">
        <v>74</v>
      </c>
      <c r="D17" s="74" t="s">
        <v>186</v>
      </c>
      <c r="E17" s="74" t="s">
        <v>187</v>
      </c>
      <c r="F17" s="74" t="s">
        <v>60</v>
      </c>
    </row>
    <row r="18" spans="2:6" x14ac:dyDescent="0.35">
      <c r="B18" s="126" t="s">
        <v>163</v>
      </c>
      <c r="C18" s="39" t="s">
        <v>77</v>
      </c>
      <c r="D18" s="127">
        <f>IF(AND(OR(B18="Non", B18="Indiff"), INDEX($B$6:$F$15, MATCH($C18, $C$6:$C$15, 0), MATCH(D$17,$B$6:$F$6, 0))="Non"), 'Matrices aides'!$D$15,
IF(AND(OR(B18="Non", B18="Indiff"), INDEX($B$6:$F$15, MATCH($C18, $C$6:$C$15, 0), MATCH(D$17,$B$6:$F$6, 0))="Oui"), 'Matrices aides'!$D$16,
""))</f>
        <v>3.5</v>
      </c>
      <c r="E18" s="127">
        <f>IF(AND(B18="Non",INDEX($B$6:$F$15, MATCH($C18, $C$6:$C$15, 0), MATCH(E$17,$B$6:$F$6, 0))="Non"), 'Matrices aides'!$D$19,
IF(AND(B18="Non",INDEX($B$6:$F$15, MATCH($C18, $C$6:$C$15, 0), MATCH(E$17,$B$6:$F$6, 0))="Oui"), 'Matrices aides'!$D$20,
IF(B18="Indiff", "",
'Matrices aides'!$D$85)))</f>
        <v>0.7</v>
      </c>
      <c r="F18" s="128" t="str">
        <f>IF(F7="Indiff", "", 'Matrices aides'!$D$23)</f>
        <v/>
      </c>
    </row>
    <row r="19" spans="2:6" x14ac:dyDescent="0.35">
      <c r="B19" s="126" t="s">
        <v>163</v>
      </c>
      <c r="C19" s="44" t="s">
        <v>87</v>
      </c>
      <c r="D19" s="127">
        <f>IF(AND(OR(B19="Non", B19="Indiff"), INDEX($B$6:$F$15, MATCH($C19, $C$6:$C$15, 0), MATCH(D$17,$B$6:$F$6, 0))="Non"), 'Matrices aides'!$D$15,
IF(AND(OR(B19="Non", B19="Indiff"), INDEX($B$6:$F$15, MATCH($C19, $C$6:$C$15, 0), MATCH(D$17,$B$6:$F$6, 0))="Oui"), 'Matrices aides'!$D$16,
""))</f>
        <v>3.5</v>
      </c>
      <c r="E19" s="127">
        <f>IF(AND(B19="Non",INDEX($B$6:$F$15, MATCH($C19, $C$6:$C$15, 0), MATCH(E$17,$B$6:$F$6, 0))="Non"), 'Matrices aides'!$D$19,
IF(AND(B19="Non",INDEX($B$6:$F$15, MATCH($C19, $C$6:$C$15, 0), MATCH(E$17,$B$6:$F$6, 0))="Oui"), 'Matrices aides'!$D$20,
IF(B19="Indiff", "",
'Matrices aides'!$D$85)))</f>
        <v>0.7</v>
      </c>
      <c r="F19" s="128" t="str">
        <f>IF(F8="Indiff", "", 'Matrices aides'!$D$23)</f>
        <v/>
      </c>
    </row>
    <row r="20" spans="2:6" x14ac:dyDescent="0.35">
      <c r="B20" s="126" t="s">
        <v>163</v>
      </c>
      <c r="C20" s="44" t="s">
        <v>80</v>
      </c>
      <c r="D20" s="127" t="str">
        <f>IF(AND(OR(B20="Non", B20="Indiff"), INDEX($B$6:$F$15, MATCH($C20, $C$6:$C$15, 0), MATCH(D$17,$B$6:$F$6, 0))="Non"), 'Matrices aides'!$D$15,
IF(AND(OR(B20="Non", B20="Indiff"), INDEX($B$6:$F$15, MATCH($C20, $C$6:$C$15, 0), MATCH(D$17,$B$6:$F$6, 0))="Oui"), 'Matrices aides'!$D$16,
""))</f>
        <v/>
      </c>
      <c r="E20" s="127">
        <f>IF(AND(B20="Non",INDEX($B$6:$F$15, MATCH($C20, $C$6:$C$15, 0), MATCH(E$17,$B$6:$F$6, 0))="Non"), 'Matrices aides'!$D$19,
IF(AND(B20="Non",INDEX($B$6:$F$15, MATCH($C20, $C$6:$C$15, 0), MATCH(E$17,$B$6:$F$6, 0))="Oui"), 'Matrices aides'!$D$20,
IF(B20="Indiff", "",
'Matrices aides'!$D$85)))</f>
        <v>0.7</v>
      </c>
      <c r="F20" s="128" t="str">
        <f>IF(F9="Indiff", "", 'Matrices aides'!$D$23)</f>
        <v/>
      </c>
    </row>
    <row r="21" spans="2:6" x14ac:dyDescent="0.35">
      <c r="B21" s="126" t="s">
        <v>163</v>
      </c>
      <c r="C21" s="44" t="s">
        <v>82</v>
      </c>
      <c r="D21" s="127" t="str">
        <f>IF(AND(OR(B21="Non", B21="Indiff"), INDEX($B$6:$F$15, MATCH($C21, $C$6:$C$15, 0), MATCH(D$17,$B$6:$F$6, 0))="Non"), 'Matrices aides'!$D$15,
IF(AND(OR(B21="Non", B21="Indiff"), INDEX($B$6:$F$15, MATCH($C21, $C$6:$C$15, 0), MATCH(D$17,$B$6:$F$6, 0))="Oui"), 'Matrices aides'!$D$16,
""))</f>
        <v/>
      </c>
      <c r="E21" s="127">
        <f>IF(AND(B21="Non",INDEX($B$6:$F$15, MATCH($C21, $C$6:$C$15, 0), MATCH(E$17,$B$6:$F$6, 0))="Non"), 'Matrices aides'!$D$19,
IF(AND(B21="Non",INDEX($B$6:$F$15, MATCH($C21, $C$6:$C$15, 0), MATCH(E$17,$B$6:$F$6, 0))="Oui"), 'Matrices aides'!$D$20,
IF(B21="Indiff", "",
'Matrices aides'!$D$85)))</f>
        <v>0.7</v>
      </c>
      <c r="F21" s="128" t="str">
        <f>IF(F10="Indiff", "", 'Matrices aides'!$D$23)</f>
        <v/>
      </c>
    </row>
    <row r="22" spans="2:6" x14ac:dyDescent="0.35">
      <c r="B22" s="126" t="s">
        <v>163</v>
      </c>
      <c r="C22" s="44" t="s">
        <v>89</v>
      </c>
      <c r="D22" s="127" t="str">
        <f>IF(AND(OR(B22="Non", B22="Indiff"), INDEX($B$6:$F$15, MATCH($C22, $C$6:$C$15, 0), MATCH(D$17,$B$6:$F$6, 0))="Non"), 'Matrices aides'!$D$15,
IF(AND(OR(B22="Non", B22="Indiff"), INDEX($B$6:$F$15, MATCH($C22, $C$6:$C$15, 0), MATCH(D$17,$B$6:$F$6, 0))="Oui"), 'Matrices aides'!$D$16,
""))</f>
        <v/>
      </c>
      <c r="E22" s="127">
        <f>IF(AND(B22="Non",INDEX($B$6:$F$15, MATCH($C22, $C$6:$C$15, 0), MATCH(E$17,$B$6:$F$6, 0))="Non"), 'Matrices aides'!$D$19,
IF(AND(B22="Non",INDEX($B$6:$F$15, MATCH($C22, $C$6:$C$15, 0), MATCH(E$17,$B$6:$F$6, 0))="Oui"), 'Matrices aides'!$D$20,
IF(B22="Indiff", "",
'Matrices aides'!$D$85)))</f>
        <v>0.7</v>
      </c>
      <c r="F22" s="128" t="str">
        <f>IF(F11="Indiff", "", 'Matrices aides'!$D$23)</f>
        <v/>
      </c>
    </row>
    <row r="23" spans="2:6" x14ac:dyDescent="0.35">
      <c r="B23" s="126" t="s">
        <v>163</v>
      </c>
      <c r="C23" s="44" t="s">
        <v>81</v>
      </c>
      <c r="D23" s="127">
        <f>IF(AND(OR(B23="Non", B23="Indiff"), INDEX($B$6:$F$15, MATCH($C23, $C$6:$C$15, 0), MATCH(D$17,$B$6:$F$6, 0))="Non"), 'Matrices aides'!$D$15,
IF(AND(OR(B23="Non", B23="Indiff"), INDEX($B$6:$F$15, MATCH($C23, $C$6:$C$15, 0), MATCH(D$17,$B$6:$F$6, 0))="Oui"), 'Matrices aides'!$D$16,
""))</f>
        <v>4</v>
      </c>
      <c r="E23" s="127">
        <f>IF(AND(B23="Non",INDEX($B$6:$F$15, MATCH($C23, $C$6:$C$15, 0), MATCH(E$17,$B$6:$F$6, 0))="Non"), 'Matrices aides'!$D$19,
IF(AND(B23="Non",INDEX($B$6:$F$15, MATCH($C23, $C$6:$C$15, 0), MATCH(E$17,$B$6:$F$6, 0))="Oui"), 'Matrices aides'!$D$20,
IF(B23="Indiff", "",
'Matrices aides'!$D$85)))</f>
        <v>0.8</v>
      </c>
      <c r="F23" s="128" t="str">
        <f>IF(F12="Indiff", "", 'Matrices aides'!$D$23)</f>
        <v/>
      </c>
    </row>
    <row r="24" spans="2:6" x14ac:dyDescent="0.35">
      <c r="B24" s="126" t="s">
        <v>188</v>
      </c>
      <c r="C24" s="44" t="s">
        <v>84</v>
      </c>
      <c r="D24" s="127">
        <f>IF(AND(OR(B24="Non", B24="Indiff"), INDEX($B$6:$F$15, MATCH($C24, $C$6:$C$15, 0), MATCH(D$17,$B$6:$F$6, 0))="Non"), 'Matrices aides'!$D$15,
IF(AND(OR(B24="Non", B24="Indiff"), INDEX($B$6:$F$15, MATCH($C24, $C$6:$C$15, 0), MATCH(D$17,$B$6:$F$6, 0))="Oui"), 'Matrices aides'!$D$16,
""))</f>
        <v>3.5</v>
      </c>
      <c r="E24" s="127" t="str">
        <f>IF(AND(B24="Non",INDEX($B$6:$F$15, MATCH($C24, $C$6:$C$15, 0), MATCH(E$17,$B$6:$F$6, 0))="Non"), 'Matrices aides'!$D$19,
IF(AND(B24="Non",INDEX($B$6:$F$15, MATCH($C24, $C$6:$C$15, 0), MATCH(E$17,$B$6:$F$6, 0))="Oui"), 'Matrices aides'!$D$20,
IF(B24="Indiff", "",
'Matrices aides'!$D$85)))</f>
        <v/>
      </c>
      <c r="F24" s="128">
        <f>IF(F13="Indiff", "", 'Matrices aides'!$D$23)</f>
        <v>700</v>
      </c>
    </row>
    <row r="25" spans="2:6" x14ac:dyDescent="0.35">
      <c r="B25" s="126" t="s">
        <v>188</v>
      </c>
      <c r="C25" s="44" t="s">
        <v>86</v>
      </c>
      <c r="D25" s="127">
        <f>IF(AND(OR(B25="Non", B25="Indiff"), INDEX($B$6:$F$15, MATCH($C25, $C$6:$C$15, 0), MATCH(D$17,$B$6:$F$6, 0))="Non"), 'Matrices aides'!$D$15,
IF(AND(OR(B25="Non", B25="Indiff"), INDEX($B$6:$F$15, MATCH($C25, $C$6:$C$15, 0), MATCH(D$17,$B$6:$F$6, 0))="Oui"), 'Matrices aides'!$D$16,
""))</f>
        <v>3.5</v>
      </c>
      <c r="E25" s="127" t="str">
        <f>IF(AND(B25="Non",INDEX($B$6:$F$15, MATCH($C25, $C$6:$C$15, 0), MATCH(E$17,$B$6:$F$6, 0))="Non"), 'Matrices aides'!$D$19,
IF(AND(B25="Non",INDEX($B$6:$F$15, MATCH($C25, $C$6:$C$15, 0), MATCH(E$17,$B$6:$F$6, 0))="Oui"), 'Matrices aides'!$D$20,
IF(B25="Indiff", "",
'Matrices aides'!$D$85)))</f>
        <v/>
      </c>
      <c r="F25" s="128">
        <f>IF(F14="Indiff", "", 'Matrices aides'!$D$23)</f>
        <v>700</v>
      </c>
    </row>
    <row r="26" spans="2:6" ht="29" x14ac:dyDescent="0.35">
      <c r="B26" s="126" t="s">
        <v>188</v>
      </c>
      <c r="C26" s="44" t="s">
        <v>91</v>
      </c>
      <c r="D26" s="127">
        <f>IF(AND(OR(B26="Non", B26="Indiff"), INDEX($B$6:$F$15, MATCH($C26, $C$6:$C$15, 0), MATCH(D$17,$B$6:$F$6, 0))="Non"), 'Matrices aides'!$D$15,
IF(AND(OR(B26="Non", B26="Indiff"), INDEX($B$6:$F$15, MATCH($C26, $C$6:$C$15, 0), MATCH(D$17,$B$6:$F$6, 0))="Oui"), 'Matrices aides'!$D$16,
""))</f>
        <v>4</v>
      </c>
      <c r="E26" s="127" t="str">
        <f>IF(AND(B26="Non",INDEX($B$6:$F$15, MATCH($C26, $C$6:$C$15, 0), MATCH(E$17,$B$6:$F$6, 0))="Non"), 'Matrices aides'!$D$19,
IF(AND(B26="Non",INDEX($B$6:$F$15, MATCH($C26, $C$6:$C$15, 0), MATCH(E$17,$B$6:$F$6, 0))="Oui"), 'Matrices aides'!$D$20,
IF(B26="Indiff", "",
'Matrices aides'!$D$85)))</f>
        <v/>
      </c>
      <c r="F26" s="128">
        <f>IF(F15="Indiff", "", 'Matrices aides'!$D$23)</f>
        <v>700</v>
      </c>
    </row>
    <row r="28" spans="2:6" x14ac:dyDescent="0.35">
      <c r="C28" s="41"/>
      <c r="D28" s="41"/>
    </row>
  </sheetData>
  <sheetProtection algorithmName="SHA-512" hashValue="PDoDRVd5TgNIeZaKlHp1SCaYNK0aDUS4ZXvGEx4H8FDdAmq/oTcwlkySQHuno3RvxN2LHG1O/Ete7uAzI8cbsg==" saltValue="thGJcDH3addId4i/Zs1sh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359F0-B4AC-498F-8801-B627821890C0}">
  <sheetPr codeName="Feuil5">
    <tabColor theme="6"/>
  </sheetPr>
  <dimension ref="A2:N103"/>
  <sheetViews>
    <sheetView workbookViewId="0">
      <selection activeCell="H28" sqref="H28"/>
    </sheetView>
  </sheetViews>
  <sheetFormatPr baseColWidth="10" defaultColWidth="11.453125" defaultRowHeight="14.5" x14ac:dyDescent="0.35"/>
  <cols>
    <col min="1" max="1" width="6.1796875" style="75" customWidth="1"/>
    <col min="2" max="2" width="30.54296875" style="75" bestFit="1" customWidth="1"/>
    <col min="3" max="3" width="11.453125" style="75" bestFit="1" customWidth="1"/>
    <col min="4" max="4" width="12.54296875" style="75" bestFit="1" customWidth="1"/>
    <col min="5" max="5" width="6.1796875" style="75" customWidth="1"/>
    <col min="6" max="6" width="19.26953125" style="75" bestFit="1" customWidth="1"/>
    <col min="7" max="7" width="6.1796875" style="75" customWidth="1"/>
    <col min="8" max="8" width="88.54296875" style="75" bestFit="1" customWidth="1"/>
    <col min="9" max="9" width="6.1796875" style="75" customWidth="1"/>
    <col min="10" max="10" width="16.7265625" style="75" bestFit="1" customWidth="1"/>
    <col min="11" max="11" width="6.1796875" style="75" customWidth="1"/>
    <col min="12" max="12" width="11" style="75" bestFit="1" customWidth="1"/>
    <col min="13" max="13" width="6.1796875" style="75" customWidth="1"/>
    <col min="14" max="14" width="6.453125" style="75" customWidth="1"/>
    <col min="15" max="16384" width="11.453125" style="75"/>
  </cols>
  <sheetData>
    <row r="2" spans="1:14" x14ac:dyDescent="0.35">
      <c r="A2" s="73"/>
      <c r="B2" s="74" t="s">
        <v>189</v>
      </c>
      <c r="C2" s="74" t="s">
        <v>190</v>
      </c>
      <c r="D2" s="74" t="s">
        <v>20</v>
      </c>
      <c r="E2" s="73"/>
      <c r="F2" s="74" t="s">
        <v>191</v>
      </c>
      <c r="G2" s="73"/>
      <c r="H2" s="74" t="s">
        <v>192</v>
      </c>
      <c r="I2" s="73"/>
      <c r="J2" s="74" t="s">
        <v>193</v>
      </c>
      <c r="K2" s="73"/>
      <c r="L2" s="74" t="s">
        <v>194</v>
      </c>
      <c r="M2" s="73"/>
      <c r="N2" s="74" t="s">
        <v>195</v>
      </c>
    </row>
    <row r="3" spans="1:14" x14ac:dyDescent="0.35">
      <c r="B3" s="76" t="s">
        <v>196</v>
      </c>
      <c r="C3" s="77" t="s">
        <v>163</v>
      </c>
      <c r="D3" s="77" t="s">
        <v>163</v>
      </c>
      <c r="F3" s="77" t="s">
        <v>135</v>
      </c>
      <c r="H3" s="76" t="s">
        <v>197</v>
      </c>
      <c r="J3" s="76" t="s">
        <v>198</v>
      </c>
      <c r="L3" s="76" t="s">
        <v>199</v>
      </c>
      <c r="N3" s="77" t="s">
        <v>174</v>
      </c>
    </row>
    <row r="4" spans="1:14" x14ac:dyDescent="0.35">
      <c r="B4" s="76" t="s">
        <v>200</v>
      </c>
      <c r="C4" s="77" t="s">
        <v>163</v>
      </c>
      <c r="D4" s="77" t="s">
        <v>163</v>
      </c>
      <c r="F4" s="77" t="s">
        <v>136</v>
      </c>
      <c r="H4" s="76" t="s">
        <v>201</v>
      </c>
      <c r="J4" s="76" t="s">
        <v>202</v>
      </c>
      <c r="L4" s="76" t="s">
        <v>203</v>
      </c>
      <c r="N4" s="77" t="s">
        <v>163</v>
      </c>
    </row>
    <row r="5" spans="1:14" x14ac:dyDescent="0.35">
      <c r="B5" s="76" t="s">
        <v>204</v>
      </c>
      <c r="C5" s="77" t="s">
        <v>163</v>
      </c>
      <c r="D5" s="77" t="s">
        <v>163</v>
      </c>
      <c r="H5" s="76" t="s">
        <v>205</v>
      </c>
      <c r="J5" s="76" t="s">
        <v>206</v>
      </c>
    </row>
    <row r="6" spans="1:14" x14ac:dyDescent="0.35">
      <c r="B6" s="76" t="s">
        <v>207</v>
      </c>
      <c r="C6" s="77" t="s">
        <v>163</v>
      </c>
      <c r="D6" s="77" t="s">
        <v>163</v>
      </c>
      <c r="H6" s="76" t="s">
        <v>208</v>
      </c>
    </row>
    <row r="7" spans="1:14" x14ac:dyDescent="0.35">
      <c r="B7" s="76" t="s">
        <v>209</v>
      </c>
      <c r="C7" s="77" t="s">
        <v>163</v>
      </c>
      <c r="D7" s="77" t="s">
        <v>163</v>
      </c>
      <c r="H7" s="76" t="s">
        <v>210</v>
      </c>
    </row>
    <row r="8" spans="1:14" x14ac:dyDescent="0.35">
      <c r="B8" s="76" t="s">
        <v>211</v>
      </c>
      <c r="C8" s="77" t="s">
        <v>163</v>
      </c>
      <c r="D8" s="77" t="s">
        <v>163</v>
      </c>
    </row>
    <row r="9" spans="1:14" x14ac:dyDescent="0.35">
      <c r="B9" s="76" t="s">
        <v>212</v>
      </c>
      <c r="C9" s="77" t="s">
        <v>163</v>
      </c>
      <c r="D9" s="77" t="s">
        <v>163</v>
      </c>
    </row>
    <row r="10" spans="1:14" x14ac:dyDescent="0.35">
      <c r="B10" s="76" t="s">
        <v>213</v>
      </c>
      <c r="C10" s="77" t="s">
        <v>163</v>
      </c>
      <c r="D10" s="77" t="s">
        <v>163</v>
      </c>
    </row>
    <row r="11" spans="1:14" x14ac:dyDescent="0.35">
      <c r="B11" s="76" t="s">
        <v>214</v>
      </c>
      <c r="C11" s="77" t="s">
        <v>163</v>
      </c>
      <c r="D11" s="77" t="s">
        <v>163</v>
      </c>
    </row>
    <row r="12" spans="1:14" x14ac:dyDescent="0.35">
      <c r="B12" s="76" t="s">
        <v>215</v>
      </c>
      <c r="C12" s="77" t="s">
        <v>163</v>
      </c>
      <c r="D12" s="77" t="s">
        <v>163</v>
      </c>
    </row>
    <row r="13" spans="1:14" x14ac:dyDescent="0.35">
      <c r="B13" s="76" t="s">
        <v>216</v>
      </c>
      <c r="C13" s="77" t="s">
        <v>163</v>
      </c>
      <c r="D13" s="77" t="s">
        <v>163</v>
      </c>
    </row>
    <row r="14" spans="1:14" x14ac:dyDescent="0.35">
      <c r="B14" s="76" t="s">
        <v>217</v>
      </c>
      <c r="C14" s="77" t="s">
        <v>163</v>
      </c>
      <c r="D14" s="77" t="s">
        <v>163</v>
      </c>
    </row>
    <row r="15" spans="1:14" x14ac:dyDescent="0.35">
      <c r="B15" s="76" t="s">
        <v>218</v>
      </c>
      <c r="C15" s="77" t="s">
        <v>163</v>
      </c>
      <c r="D15" s="77" t="s">
        <v>163</v>
      </c>
    </row>
    <row r="16" spans="1:14" x14ac:dyDescent="0.35">
      <c r="B16" s="76" t="s">
        <v>219</v>
      </c>
      <c r="C16" s="77" t="s">
        <v>163</v>
      </c>
      <c r="D16" s="77" t="s">
        <v>163</v>
      </c>
    </row>
    <row r="17" spans="2:4" x14ac:dyDescent="0.35">
      <c r="B17" s="76" t="s">
        <v>220</v>
      </c>
      <c r="C17" s="77" t="s">
        <v>163</v>
      </c>
      <c r="D17" s="77" t="s">
        <v>163</v>
      </c>
    </row>
    <row r="18" spans="2:4" x14ac:dyDescent="0.35">
      <c r="B18" s="76" t="s">
        <v>221</v>
      </c>
      <c r="C18" s="77" t="s">
        <v>163</v>
      </c>
      <c r="D18" s="77" t="s">
        <v>163</v>
      </c>
    </row>
    <row r="19" spans="2:4" x14ac:dyDescent="0.35">
      <c r="B19" s="76" t="s">
        <v>222</v>
      </c>
      <c r="C19" s="77" t="s">
        <v>163</v>
      </c>
      <c r="D19" s="77" t="s">
        <v>163</v>
      </c>
    </row>
    <row r="20" spans="2:4" x14ac:dyDescent="0.35">
      <c r="B20" s="76" t="s">
        <v>223</v>
      </c>
      <c r="C20" s="77" t="s">
        <v>163</v>
      </c>
      <c r="D20" s="77" t="s">
        <v>163</v>
      </c>
    </row>
    <row r="21" spans="2:4" x14ac:dyDescent="0.35">
      <c r="B21" s="76" t="s">
        <v>224</v>
      </c>
      <c r="C21" s="77" t="s">
        <v>163</v>
      </c>
      <c r="D21" s="77" t="s">
        <v>163</v>
      </c>
    </row>
    <row r="22" spans="2:4" x14ac:dyDescent="0.35">
      <c r="B22" s="76" t="s">
        <v>225</v>
      </c>
      <c r="C22" s="77" t="s">
        <v>163</v>
      </c>
      <c r="D22" s="77" t="s">
        <v>163</v>
      </c>
    </row>
    <row r="23" spans="2:4" x14ac:dyDescent="0.35">
      <c r="B23" s="76" t="s">
        <v>226</v>
      </c>
      <c r="C23" s="77" t="s">
        <v>163</v>
      </c>
      <c r="D23" s="77" t="s">
        <v>163</v>
      </c>
    </row>
    <row r="24" spans="2:4" x14ac:dyDescent="0.35">
      <c r="B24" s="76" t="s">
        <v>227</v>
      </c>
      <c r="C24" s="77" t="s">
        <v>163</v>
      </c>
      <c r="D24" s="77" t="s">
        <v>163</v>
      </c>
    </row>
    <row r="25" spans="2:4" x14ac:dyDescent="0.35">
      <c r="B25" s="76" t="s">
        <v>228</v>
      </c>
      <c r="C25" s="77" t="s">
        <v>163</v>
      </c>
      <c r="D25" s="77" t="s">
        <v>163</v>
      </c>
    </row>
    <row r="26" spans="2:4" x14ac:dyDescent="0.35">
      <c r="B26" s="76" t="s">
        <v>229</v>
      </c>
      <c r="C26" s="77" t="s">
        <v>163</v>
      </c>
      <c r="D26" s="77" t="s">
        <v>163</v>
      </c>
    </row>
    <row r="27" spans="2:4" x14ac:dyDescent="0.35">
      <c r="B27" s="76" t="s">
        <v>230</v>
      </c>
      <c r="C27" s="77" t="s">
        <v>163</v>
      </c>
      <c r="D27" s="77" t="s">
        <v>163</v>
      </c>
    </row>
    <row r="28" spans="2:4" x14ac:dyDescent="0.35">
      <c r="B28" s="76" t="s">
        <v>231</v>
      </c>
      <c r="C28" s="77" t="s">
        <v>163</v>
      </c>
      <c r="D28" s="77" t="s">
        <v>163</v>
      </c>
    </row>
    <row r="29" spans="2:4" x14ac:dyDescent="0.35">
      <c r="B29" s="76" t="s">
        <v>232</v>
      </c>
      <c r="C29" s="77" t="s">
        <v>163</v>
      </c>
      <c r="D29" s="77" t="s">
        <v>163</v>
      </c>
    </row>
    <row r="30" spans="2:4" x14ac:dyDescent="0.35">
      <c r="B30" s="76" t="s">
        <v>233</v>
      </c>
      <c r="C30" s="77" t="s">
        <v>163</v>
      </c>
      <c r="D30" s="77" t="s">
        <v>163</v>
      </c>
    </row>
    <row r="31" spans="2:4" x14ac:dyDescent="0.35">
      <c r="B31" s="76" t="s">
        <v>234</v>
      </c>
      <c r="C31" s="77" t="s">
        <v>163</v>
      </c>
      <c r="D31" s="77" t="s">
        <v>163</v>
      </c>
    </row>
    <row r="32" spans="2:4" x14ac:dyDescent="0.35">
      <c r="B32" s="76" t="s">
        <v>235</v>
      </c>
      <c r="C32" s="77" t="s">
        <v>163</v>
      </c>
      <c r="D32" s="77" t="s">
        <v>163</v>
      </c>
    </row>
    <row r="33" spans="2:4" x14ac:dyDescent="0.35">
      <c r="B33" s="76" t="s">
        <v>236</v>
      </c>
      <c r="C33" s="77" t="s">
        <v>163</v>
      </c>
      <c r="D33" s="77" t="s">
        <v>163</v>
      </c>
    </row>
    <row r="34" spans="2:4" x14ac:dyDescent="0.35">
      <c r="B34" s="76" t="s">
        <v>237</v>
      </c>
      <c r="C34" s="77" t="s">
        <v>163</v>
      </c>
      <c r="D34" s="77" t="s">
        <v>163</v>
      </c>
    </row>
    <row r="35" spans="2:4" x14ac:dyDescent="0.35">
      <c r="B35" s="76" t="s">
        <v>238</v>
      </c>
      <c r="C35" s="77" t="s">
        <v>163</v>
      </c>
      <c r="D35" s="77" t="s">
        <v>163</v>
      </c>
    </row>
    <row r="36" spans="2:4" x14ac:dyDescent="0.35">
      <c r="B36" s="76" t="s">
        <v>239</v>
      </c>
      <c r="C36" s="77" t="s">
        <v>163</v>
      </c>
      <c r="D36" s="77" t="s">
        <v>163</v>
      </c>
    </row>
    <row r="37" spans="2:4" x14ac:dyDescent="0.35">
      <c r="B37" s="76" t="s">
        <v>240</v>
      </c>
      <c r="C37" s="77" t="s">
        <v>163</v>
      </c>
      <c r="D37" s="77" t="s">
        <v>163</v>
      </c>
    </row>
    <row r="38" spans="2:4" x14ac:dyDescent="0.35">
      <c r="B38" s="76" t="s">
        <v>241</v>
      </c>
      <c r="C38" s="77" t="s">
        <v>163</v>
      </c>
      <c r="D38" s="77" t="s">
        <v>163</v>
      </c>
    </row>
    <row r="39" spans="2:4" x14ac:dyDescent="0.35">
      <c r="B39" s="76" t="s">
        <v>242</v>
      </c>
      <c r="C39" s="77" t="s">
        <v>163</v>
      </c>
      <c r="D39" s="77" t="s">
        <v>163</v>
      </c>
    </row>
    <row r="40" spans="2:4" x14ac:dyDescent="0.35">
      <c r="B40" s="76" t="s">
        <v>243</v>
      </c>
      <c r="C40" s="77" t="s">
        <v>163</v>
      </c>
      <c r="D40" s="77" t="s">
        <v>163</v>
      </c>
    </row>
    <row r="41" spans="2:4" x14ac:dyDescent="0.35">
      <c r="B41" s="76" t="s">
        <v>244</v>
      </c>
      <c r="C41" s="77" t="s">
        <v>163</v>
      </c>
      <c r="D41" s="77" t="s">
        <v>163</v>
      </c>
    </row>
    <row r="42" spans="2:4" x14ac:dyDescent="0.35">
      <c r="B42" s="76" t="s">
        <v>245</v>
      </c>
      <c r="C42" s="77" t="s">
        <v>163</v>
      </c>
      <c r="D42" s="77" t="s">
        <v>163</v>
      </c>
    </row>
    <row r="43" spans="2:4" x14ac:dyDescent="0.35">
      <c r="B43" s="76" t="s">
        <v>246</v>
      </c>
      <c r="C43" s="77" t="s">
        <v>163</v>
      </c>
      <c r="D43" s="77" t="s">
        <v>163</v>
      </c>
    </row>
    <row r="44" spans="2:4" x14ac:dyDescent="0.35">
      <c r="B44" s="76" t="s">
        <v>247</v>
      </c>
      <c r="C44" s="77" t="s">
        <v>163</v>
      </c>
      <c r="D44" s="77" t="s">
        <v>163</v>
      </c>
    </row>
    <row r="45" spans="2:4" x14ac:dyDescent="0.35">
      <c r="B45" s="76" t="s">
        <v>248</v>
      </c>
      <c r="C45" s="77" t="s">
        <v>163</v>
      </c>
      <c r="D45" s="77" t="s">
        <v>163</v>
      </c>
    </row>
    <row r="46" spans="2:4" x14ac:dyDescent="0.35">
      <c r="B46" s="76" t="s">
        <v>249</v>
      </c>
      <c r="C46" s="77" t="s">
        <v>163</v>
      </c>
      <c r="D46" s="77" t="s">
        <v>163</v>
      </c>
    </row>
    <row r="47" spans="2:4" x14ac:dyDescent="0.35">
      <c r="B47" s="76" t="s">
        <v>250</v>
      </c>
      <c r="C47" s="77" t="s">
        <v>163</v>
      </c>
      <c r="D47" s="77" t="s">
        <v>163</v>
      </c>
    </row>
    <row r="48" spans="2:4" x14ac:dyDescent="0.35">
      <c r="B48" s="76" t="s">
        <v>251</v>
      </c>
      <c r="C48" s="77" t="s">
        <v>163</v>
      </c>
      <c r="D48" s="77" t="s">
        <v>163</v>
      </c>
    </row>
    <row r="49" spans="2:4" x14ac:dyDescent="0.35">
      <c r="B49" s="76" t="s">
        <v>252</v>
      </c>
      <c r="C49" s="77" t="s">
        <v>163</v>
      </c>
      <c r="D49" s="77" t="s">
        <v>163</v>
      </c>
    </row>
    <row r="50" spans="2:4" x14ac:dyDescent="0.35">
      <c r="B50" s="76" t="s">
        <v>253</v>
      </c>
      <c r="C50" s="77" t="s">
        <v>163</v>
      </c>
      <c r="D50" s="77" t="s">
        <v>163</v>
      </c>
    </row>
    <row r="51" spans="2:4" x14ac:dyDescent="0.35">
      <c r="B51" s="76" t="s">
        <v>254</v>
      </c>
      <c r="C51" s="77" t="s">
        <v>163</v>
      </c>
      <c r="D51" s="77" t="s">
        <v>163</v>
      </c>
    </row>
    <row r="52" spans="2:4" x14ac:dyDescent="0.35">
      <c r="B52" s="76" t="s">
        <v>255</v>
      </c>
      <c r="C52" s="77" t="s">
        <v>163</v>
      </c>
      <c r="D52" s="77" t="s">
        <v>163</v>
      </c>
    </row>
    <row r="53" spans="2:4" x14ac:dyDescent="0.35">
      <c r="B53" s="76" t="s">
        <v>256</v>
      </c>
      <c r="C53" s="77" t="s">
        <v>163</v>
      </c>
      <c r="D53" s="77" t="s">
        <v>163</v>
      </c>
    </row>
    <row r="54" spans="2:4" x14ac:dyDescent="0.35">
      <c r="B54" s="76" t="s">
        <v>257</v>
      </c>
      <c r="C54" s="77" t="s">
        <v>163</v>
      </c>
      <c r="D54" s="77" t="s">
        <v>163</v>
      </c>
    </row>
    <row r="55" spans="2:4" x14ac:dyDescent="0.35">
      <c r="B55" s="76" t="s">
        <v>258</v>
      </c>
      <c r="C55" s="77" t="s">
        <v>163</v>
      </c>
      <c r="D55" s="77" t="s">
        <v>163</v>
      </c>
    </row>
    <row r="56" spans="2:4" x14ac:dyDescent="0.35">
      <c r="B56" s="76" t="s">
        <v>259</v>
      </c>
      <c r="C56" s="77" t="s">
        <v>163</v>
      </c>
      <c r="D56" s="77" t="s">
        <v>163</v>
      </c>
    </row>
    <row r="57" spans="2:4" x14ac:dyDescent="0.35">
      <c r="B57" s="76" t="s">
        <v>260</v>
      </c>
      <c r="C57" s="77" t="s">
        <v>163</v>
      </c>
      <c r="D57" s="77" t="s">
        <v>163</v>
      </c>
    </row>
    <row r="58" spans="2:4" x14ac:dyDescent="0.35">
      <c r="B58" s="76" t="s">
        <v>261</v>
      </c>
      <c r="C58" s="77" t="s">
        <v>163</v>
      </c>
      <c r="D58" s="77" t="s">
        <v>163</v>
      </c>
    </row>
    <row r="59" spans="2:4" x14ac:dyDescent="0.35">
      <c r="B59" s="76" t="s">
        <v>262</v>
      </c>
      <c r="C59" s="77" t="s">
        <v>163</v>
      </c>
      <c r="D59" s="77" t="s">
        <v>163</v>
      </c>
    </row>
    <row r="60" spans="2:4" x14ac:dyDescent="0.35">
      <c r="B60" s="76" t="s">
        <v>263</v>
      </c>
      <c r="C60" s="77" t="s">
        <v>163</v>
      </c>
      <c r="D60" s="77" t="s">
        <v>163</v>
      </c>
    </row>
    <row r="61" spans="2:4" x14ac:dyDescent="0.35">
      <c r="B61" s="76" t="s">
        <v>264</v>
      </c>
      <c r="C61" s="77" t="s">
        <v>163</v>
      </c>
      <c r="D61" s="77" t="s">
        <v>163</v>
      </c>
    </row>
    <row r="62" spans="2:4" x14ac:dyDescent="0.35">
      <c r="B62" s="76" t="s">
        <v>265</v>
      </c>
      <c r="C62" s="77" t="s">
        <v>163</v>
      </c>
      <c r="D62" s="77" t="s">
        <v>163</v>
      </c>
    </row>
    <row r="63" spans="2:4" x14ac:dyDescent="0.35">
      <c r="B63" s="76" t="s">
        <v>266</v>
      </c>
      <c r="C63" s="77" t="s">
        <v>163</v>
      </c>
      <c r="D63" s="77" t="s">
        <v>163</v>
      </c>
    </row>
    <row r="64" spans="2:4" x14ac:dyDescent="0.35">
      <c r="B64" s="76" t="s">
        <v>267</v>
      </c>
      <c r="C64" s="77" t="s">
        <v>163</v>
      </c>
      <c r="D64" s="77" t="s">
        <v>163</v>
      </c>
    </row>
    <row r="65" spans="2:4" x14ac:dyDescent="0.35">
      <c r="B65" s="76" t="s">
        <v>268</v>
      </c>
      <c r="C65" s="77" t="s">
        <v>163</v>
      </c>
      <c r="D65" s="77" t="s">
        <v>163</v>
      </c>
    </row>
    <row r="66" spans="2:4" x14ac:dyDescent="0.35">
      <c r="B66" s="76" t="s">
        <v>269</v>
      </c>
      <c r="C66" s="77" t="s">
        <v>163</v>
      </c>
      <c r="D66" s="77" t="s">
        <v>163</v>
      </c>
    </row>
    <row r="67" spans="2:4" x14ac:dyDescent="0.35">
      <c r="B67" s="76" t="s">
        <v>270</v>
      </c>
      <c r="C67" s="77" t="s">
        <v>163</v>
      </c>
      <c r="D67" s="77" t="s">
        <v>163</v>
      </c>
    </row>
    <row r="68" spans="2:4" x14ac:dyDescent="0.35">
      <c r="B68" s="76" t="s">
        <v>271</v>
      </c>
      <c r="C68" s="77" t="s">
        <v>163</v>
      </c>
      <c r="D68" s="77" t="s">
        <v>163</v>
      </c>
    </row>
    <row r="69" spans="2:4" x14ac:dyDescent="0.35">
      <c r="B69" s="76" t="s">
        <v>272</v>
      </c>
      <c r="C69" s="77" t="s">
        <v>163</v>
      </c>
      <c r="D69" s="77" t="s">
        <v>163</v>
      </c>
    </row>
    <row r="70" spans="2:4" x14ac:dyDescent="0.35">
      <c r="B70" s="76" t="s">
        <v>273</v>
      </c>
      <c r="C70" s="77" t="s">
        <v>163</v>
      </c>
      <c r="D70" s="77" t="s">
        <v>163</v>
      </c>
    </row>
    <row r="71" spans="2:4" x14ac:dyDescent="0.35">
      <c r="B71" s="76" t="s">
        <v>274</v>
      </c>
      <c r="C71" s="77" t="s">
        <v>163</v>
      </c>
      <c r="D71" s="77" t="s">
        <v>163</v>
      </c>
    </row>
    <row r="72" spans="2:4" x14ac:dyDescent="0.35">
      <c r="B72" s="76" t="s">
        <v>275</v>
      </c>
      <c r="C72" s="77" t="s">
        <v>163</v>
      </c>
      <c r="D72" s="77" t="s">
        <v>163</v>
      </c>
    </row>
    <row r="73" spans="2:4" x14ac:dyDescent="0.35">
      <c r="B73" s="76" t="s">
        <v>276</v>
      </c>
      <c r="C73" s="77" t="s">
        <v>163</v>
      </c>
      <c r="D73" s="77" t="s">
        <v>163</v>
      </c>
    </row>
    <row r="74" spans="2:4" x14ac:dyDescent="0.35">
      <c r="B74" s="76" t="s">
        <v>277</v>
      </c>
      <c r="C74" s="77" t="s">
        <v>163</v>
      </c>
      <c r="D74" s="77" t="s">
        <v>163</v>
      </c>
    </row>
    <row r="75" spans="2:4" x14ac:dyDescent="0.35">
      <c r="B75" s="76" t="s">
        <v>278</v>
      </c>
      <c r="C75" s="77" t="s">
        <v>163</v>
      </c>
      <c r="D75" s="77" t="s">
        <v>163</v>
      </c>
    </row>
    <row r="76" spans="2:4" x14ac:dyDescent="0.35">
      <c r="B76" s="76" t="s">
        <v>279</v>
      </c>
      <c r="C76" s="77" t="s">
        <v>163</v>
      </c>
      <c r="D76" s="77" t="s">
        <v>163</v>
      </c>
    </row>
    <row r="77" spans="2:4" x14ac:dyDescent="0.35">
      <c r="B77" s="76" t="s">
        <v>280</v>
      </c>
      <c r="C77" s="77" t="s">
        <v>163</v>
      </c>
      <c r="D77" s="77" t="s">
        <v>163</v>
      </c>
    </row>
    <row r="78" spans="2:4" x14ac:dyDescent="0.35">
      <c r="B78" s="76" t="s">
        <v>281</v>
      </c>
      <c r="C78" s="77" t="s">
        <v>163</v>
      </c>
      <c r="D78" s="77" t="s">
        <v>163</v>
      </c>
    </row>
    <row r="79" spans="2:4" x14ac:dyDescent="0.35">
      <c r="B79" s="76" t="s">
        <v>282</v>
      </c>
      <c r="C79" s="77" t="s">
        <v>163</v>
      </c>
      <c r="D79" s="77" t="s">
        <v>163</v>
      </c>
    </row>
    <row r="80" spans="2:4" x14ac:dyDescent="0.35">
      <c r="B80" s="76" t="s">
        <v>283</v>
      </c>
      <c r="C80" s="77" t="s">
        <v>163</v>
      </c>
      <c r="D80" s="77" t="s">
        <v>163</v>
      </c>
    </row>
    <row r="81" spans="2:4" x14ac:dyDescent="0.35">
      <c r="B81" s="76" t="s">
        <v>284</v>
      </c>
      <c r="C81" s="77" t="s">
        <v>163</v>
      </c>
      <c r="D81" s="77" t="s">
        <v>163</v>
      </c>
    </row>
    <row r="82" spans="2:4" x14ac:dyDescent="0.35">
      <c r="B82" s="76" t="s">
        <v>285</v>
      </c>
      <c r="C82" s="77" t="s">
        <v>163</v>
      </c>
      <c r="D82" s="77" t="s">
        <v>163</v>
      </c>
    </row>
    <row r="83" spans="2:4" x14ac:dyDescent="0.35">
      <c r="B83" s="76" t="s">
        <v>286</v>
      </c>
      <c r="C83" s="77" t="s">
        <v>163</v>
      </c>
      <c r="D83" s="77" t="s">
        <v>163</v>
      </c>
    </row>
    <row r="84" spans="2:4" x14ac:dyDescent="0.35">
      <c r="B84" s="76" t="s">
        <v>287</v>
      </c>
      <c r="C84" s="77" t="s">
        <v>163</v>
      </c>
      <c r="D84" s="77" t="s">
        <v>163</v>
      </c>
    </row>
    <row r="85" spans="2:4" x14ac:dyDescent="0.35">
      <c r="B85" s="76" t="s">
        <v>288</v>
      </c>
      <c r="C85" s="77" t="s">
        <v>163</v>
      </c>
      <c r="D85" s="77" t="s">
        <v>163</v>
      </c>
    </row>
    <row r="86" spans="2:4" x14ac:dyDescent="0.35">
      <c r="B86" s="76" t="s">
        <v>289</v>
      </c>
      <c r="C86" s="77" t="s">
        <v>163</v>
      </c>
      <c r="D86" s="77" t="s">
        <v>163</v>
      </c>
    </row>
    <row r="87" spans="2:4" x14ac:dyDescent="0.35">
      <c r="B87" s="76" t="s">
        <v>290</v>
      </c>
      <c r="C87" s="77" t="s">
        <v>163</v>
      </c>
      <c r="D87" s="77" t="s">
        <v>163</v>
      </c>
    </row>
    <row r="88" spans="2:4" x14ac:dyDescent="0.35">
      <c r="B88" s="76" t="s">
        <v>291</v>
      </c>
      <c r="C88" s="77" t="s">
        <v>163</v>
      </c>
      <c r="D88" s="77" t="s">
        <v>163</v>
      </c>
    </row>
    <row r="89" spans="2:4" x14ac:dyDescent="0.35">
      <c r="B89" s="76" t="s">
        <v>292</v>
      </c>
      <c r="C89" s="77" t="s">
        <v>163</v>
      </c>
      <c r="D89" s="77" t="s">
        <v>163</v>
      </c>
    </row>
    <row r="90" spans="2:4" x14ac:dyDescent="0.35">
      <c r="B90" s="76" t="s">
        <v>293</v>
      </c>
      <c r="C90" s="77" t="s">
        <v>163</v>
      </c>
      <c r="D90" s="77" t="s">
        <v>163</v>
      </c>
    </row>
    <row r="91" spans="2:4" x14ac:dyDescent="0.35">
      <c r="B91" s="76" t="s">
        <v>294</v>
      </c>
      <c r="C91" s="77" t="s">
        <v>163</v>
      </c>
      <c r="D91" s="77" t="s">
        <v>163</v>
      </c>
    </row>
    <row r="92" spans="2:4" x14ac:dyDescent="0.35">
      <c r="B92" s="76" t="s">
        <v>295</v>
      </c>
      <c r="C92" s="77" t="s">
        <v>163</v>
      </c>
      <c r="D92" s="77" t="s">
        <v>163</v>
      </c>
    </row>
    <row r="93" spans="2:4" x14ac:dyDescent="0.35">
      <c r="B93" s="76" t="s">
        <v>296</v>
      </c>
      <c r="C93" s="77" t="s">
        <v>163</v>
      </c>
      <c r="D93" s="77" t="s">
        <v>163</v>
      </c>
    </row>
    <row r="94" spans="2:4" x14ac:dyDescent="0.35">
      <c r="B94" s="76" t="s">
        <v>297</v>
      </c>
      <c r="C94" s="77" t="s">
        <v>163</v>
      </c>
      <c r="D94" s="77" t="s">
        <v>163</v>
      </c>
    </row>
    <row r="95" spans="2:4" x14ac:dyDescent="0.35">
      <c r="B95" s="76" t="s">
        <v>298</v>
      </c>
      <c r="C95" s="77" t="s">
        <v>163</v>
      </c>
      <c r="D95" s="77" t="s">
        <v>163</v>
      </c>
    </row>
    <row r="96" spans="2:4" x14ac:dyDescent="0.35">
      <c r="B96" s="76" t="s">
        <v>299</v>
      </c>
      <c r="C96" s="77" t="s">
        <v>163</v>
      </c>
      <c r="D96" s="77" t="s">
        <v>163</v>
      </c>
    </row>
    <row r="97" spans="2:4" x14ac:dyDescent="0.35">
      <c r="B97" s="76" t="s">
        <v>300</v>
      </c>
      <c r="C97" s="77" t="s">
        <v>163</v>
      </c>
      <c r="D97" s="77" t="s">
        <v>163</v>
      </c>
    </row>
    <row r="98" spans="2:4" x14ac:dyDescent="0.35">
      <c r="B98" s="76" t="s">
        <v>301</v>
      </c>
      <c r="C98" s="77" t="s">
        <v>163</v>
      </c>
      <c r="D98" s="77" t="s">
        <v>163</v>
      </c>
    </row>
    <row r="99" spans="2:4" x14ac:dyDescent="0.35">
      <c r="B99" s="76" t="s">
        <v>302</v>
      </c>
      <c r="C99" s="78" t="s">
        <v>174</v>
      </c>
      <c r="D99" s="77" t="s">
        <v>163</v>
      </c>
    </row>
    <row r="100" spans="2:4" x14ac:dyDescent="0.35">
      <c r="B100" s="76" t="s">
        <v>303</v>
      </c>
      <c r="C100" s="78" t="s">
        <v>174</v>
      </c>
      <c r="D100" s="77" t="s">
        <v>163</v>
      </c>
    </row>
    <row r="101" spans="2:4" x14ac:dyDescent="0.35">
      <c r="B101" s="76" t="s">
        <v>304</v>
      </c>
      <c r="C101" s="78" t="s">
        <v>174</v>
      </c>
      <c r="D101" s="78" t="s">
        <v>174</v>
      </c>
    </row>
    <row r="102" spans="2:4" x14ac:dyDescent="0.35">
      <c r="B102" s="76" t="s">
        <v>305</v>
      </c>
      <c r="C102" s="78" t="s">
        <v>174</v>
      </c>
      <c r="D102" s="77" t="s">
        <v>163</v>
      </c>
    </row>
    <row r="103" spans="2:4" x14ac:dyDescent="0.35">
      <c r="B103" s="76" t="s">
        <v>306</v>
      </c>
      <c r="C103" s="78" t="s">
        <v>174</v>
      </c>
      <c r="D103" s="77" t="s">
        <v>163</v>
      </c>
    </row>
  </sheetData>
  <sheetProtection algorithmName="SHA-512" hashValue="dvm576AWbturyBwtkl0Ywfxp/siCQEHbSSrsrguCLjp/a7QJ9+y/Yu9g1eL5r8kxzvUnaOroZzSW+uFbljEvyA==" saltValue="tM6eB1sJAsP52I4suOHLyw==" spinCount="100000"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752DF1237A4D40AE2EC16E8BD996D9" ma:contentTypeVersion="6" ma:contentTypeDescription="Crée un document." ma:contentTypeScope="" ma:versionID="603baaf862de25e9ef612bd4d318ae1d">
  <xsd:schema xmlns:xsd="http://www.w3.org/2001/XMLSchema" xmlns:xs="http://www.w3.org/2001/XMLSchema" xmlns:p="http://schemas.microsoft.com/office/2006/metadata/properties" xmlns:ns2="61803955-2d1c-4e91-a6cf-94dbc63b9f80" xmlns:ns3="33102469-5d1b-40f7-afbb-b2b0c724989a" targetNamespace="http://schemas.microsoft.com/office/2006/metadata/properties" ma:root="true" ma:fieldsID="96be2271719b9e7c25e54738cd5f221a" ns2:_="" ns3:_="">
    <xsd:import namespace="61803955-2d1c-4e91-a6cf-94dbc63b9f80"/>
    <xsd:import namespace="33102469-5d1b-40f7-afbb-b2b0c72498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03955-2d1c-4e91-a6cf-94dbc63b9f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02469-5d1b-40f7-afbb-b2b0c724989a"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479962-DDB4-46B5-9254-AF55C272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03955-2d1c-4e91-a6cf-94dbc63b9f80"/>
    <ds:schemaRef ds:uri="33102469-5d1b-40f7-afbb-b2b0c72498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189281-E427-449D-8D80-4CF4ED25A6F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4EA1D6B-983D-4F8A-986D-65E7749CFA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14</vt:i4>
      </vt:variant>
    </vt:vector>
  </HeadingPairs>
  <TitlesOfParts>
    <vt:vector size="20" baseType="lpstr">
      <vt:lpstr>Accueil</vt:lpstr>
      <vt:lpstr>Mes_investissements</vt:lpstr>
      <vt:lpstr>Plafonds_dépenses_éligibles</vt:lpstr>
      <vt:lpstr>Matrices aides</vt:lpstr>
      <vt:lpstr>Seuils_CaR_et_PSS</vt:lpstr>
      <vt:lpstr>Listes</vt:lpstr>
      <vt:lpstr>Seuils_CaR_et_PSS!Categorie_1</vt:lpstr>
      <vt:lpstr>Categorie_1</vt:lpstr>
      <vt:lpstr>Categorie_2</vt:lpstr>
      <vt:lpstr>Categorie_3</vt:lpstr>
      <vt:lpstr>Categorie_4</vt:lpstr>
      <vt:lpstr>Categorie_5</vt:lpstr>
      <vt:lpstr>Catégories</vt:lpstr>
      <vt:lpstr>Départements</vt:lpstr>
      <vt:lpstr>Occasion_?</vt:lpstr>
      <vt:lpstr>Oui_?</vt:lpstr>
      <vt:lpstr>Roues_?</vt:lpstr>
      <vt:lpstr>Seuils_CaR_et_PSS!Type_d_investissement</vt:lpstr>
      <vt:lpstr>Type_d_investissement</vt:lpstr>
      <vt:lpstr>Type_entreprise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BELLIER Catherine;RICH Tiphaine</dc:creator>
  <cp:keywords/>
  <dc:description/>
  <cp:lastModifiedBy>BOILLOT Pierre</cp:lastModifiedBy>
  <cp:revision/>
  <dcterms:created xsi:type="dcterms:W3CDTF">2014-12-03T07:47:04Z</dcterms:created>
  <dcterms:modified xsi:type="dcterms:W3CDTF">2024-07-11T09:44:05Z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0x0101008B78B404A0EC6C48835243201A832BFD</vt:lpwstr>
  </property>
  <property fmtid="{D5CDD505-2E9C-101B-9397-08002B2CF9AE}" pid="3" name="MediaServiceImageTags">
    <vt:lpwstr/>
  </property>
</Properties>
</file>