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B-POLES TECHNIQUES\1. Pôle Economie Circulaire\4. AAP et AMI\2022\AAP Deconditio\Investissement\"/>
    </mc:Choice>
  </mc:AlternateContent>
  <bookViews>
    <workbookView xWindow="0" yWindow="0" windowWidth="19200" windowHeight="6470"/>
  </bookViews>
  <sheets>
    <sheet name="AF Porteur" sheetId="1" r:id="rId1"/>
    <sheet name="Dépenses éligibles" sheetId="5" r:id="rId2"/>
    <sheet name="Listes (masqué)" sheetId="4" state="hidden" r:id="rId3"/>
  </sheets>
  <externalReferences>
    <externalReference r:id="rId4"/>
  </externalReferences>
  <definedNames>
    <definedName name="ch_acc_projet">[1]Parametres!$A$52</definedName>
    <definedName name="ch_afr">[1]Parametres!$A$8</definedName>
    <definedName name="ch_anim_form_com">[1]Parametres!$A$44</definedName>
    <definedName name="ch_animation">[1]Parametres!$A$42</definedName>
    <definedName name="ch_avance_chg">'AF Porteur'!#REF!</definedName>
    <definedName name="ch_avance_connaissance">'AF Porteur'!#REF!</definedName>
    <definedName name="ch_avance_decision">'AF Porteur'!#REF!</definedName>
    <definedName name="ch_avance_inv">'AF Porteur'!#REF!</definedName>
    <definedName name="ch_avance_notif">[1]Parametres!$A$60</definedName>
    <definedName name="ch_avance_ods">[1]Parametres!$A$61</definedName>
    <definedName name="ch_avenant">'AF Porteur'!#REF!</definedName>
    <definedName name="ch_chg">'AF Porteur'!#REF!</definedName>
    <definedName name="ch_connaissance">'AF Porteur'!#REF!</definedName>
    <definedName name="ch_connaissance_copro">'AF Porteur'!#REF!</definedName>
    <definedName name="ch_connaissance_copro2">'AF Porteur'!#REF!</definedName>
    <definedName name="ch_connaissance_copro3">'AF Porteur'!#REF!</definedName>
    <definedName name="ch_connexe_forf">[1]Parametres!$A$48</definedName>
    <definedName name="ch_corse">[1]Parametres!$A$9</definedName>
    <definedName name="ch_decision">'AF Porteur'!#REF!</definedName>
    <definedName name="ch_diag">[1]Parametres!$A$51</definedName>
    <definedName name="ch_diag_acc_projet">[1]Parametres!$A$53</definedName>
    <definedName name="ch_eco">[1]Parametres!$A$14</definedName>
    <definedName name="ch_ej_prev">'AF Porteur'!#REF!</definedName>
    <definedName name="ch_etude">[1]Parametres!$A$35</definedName>
    <definedName name="ch_form_com">[1]Parametres!$A$43</definedName>
    <definedName name="ch_ge">[1]Parametres!$A$21</definedName>
    <definedName name="ch_international">[1]Parametres!$A$11</definedName>
    <definedName name="ch_inv">'AF Porteur'!#REF!</definedName>
    <definedName name="ch_localisation">'AF Porteur'!#REF!</definedName>
    <definedName name="ch_me">[1]Parametres!$A$20</definedName>
    <definedName name="ch_mef">'AF Porteur'!#REF!</definedName>
    <definedName name="ch_met">[1]Parametres!$A$7</definedName>
    <definedName name="ch_mod_vers">'AF Porteur'!#REF!</definedName>
    <definedName name="ch_mod_vers_group">[1]Parametres!$A$85</definedName>
    <definedName name="ch_nature_act">'AF Porteur'!#REF!</definedName>
    <definedName name="ch_nature_act2">'AF Porteur'!#REF!</definedName>
    <definedName name="ch_nb_lots_connaissance">'AF Porteur'!#REF!</definedName>
    <definedName name="ch_non">[1]Parametres!$A$3</definedName>
    <definedName name="ch_non_eco">[1]Parametres!$A$15</definedName>
    <definedName name="ch_num_contrat">'AF Porteur'!#REF!</definedName>
    <definedName name="ch_om">[1]Parametres!$A$10</definedName>
    <definedName name="ch_oui">[1]Parametres!$A$2</definedName>
    <definedName name="ch_pe">[1]Parametres!$A$19</definedName>
    <definedName name="ch_porteur">'AF Porteur'!#REF!</definedName>
    <definedName name="ch_rdi_i">[1]Parametres!$A$39</definedName>
    <definedName name="ch_rdi_rf">[1]Parametres!$A$36</definedName>
    <definedName name="ch_taille">'AF Porteur'!#REF!</definedName>
    <definedName name="ch_type_actions">'AF Porteur'!#REF!</definedName>
    <definedName name="ch_type_decision">'AF Porteur'!#REF!</definedName>
    <definedName name="ch_type_inv">'AF Porteur'!#REF!</definedName>
    <definedName name="ch_type_recherche">'AF Porteur'!#REF!</definedName>
    <definedName name="ch_type_recherche2">'AF Porteur'!#REF!</definedName>
    <definedName name="ch_type_recherche3">'AF Porteur'!#REF!</definedName>
    <definedName name="list_avenant">[1]Parametres!$A$64:$A$72</definedName>
    <definedName name="list_chg_comportement">[1]Parametres!$A$42:$A$44</definedName>
    <definedName name="list_connaissance">[1]Parametres!$A$35:$A$39</definedName>
    <definedName name="list_decision">[1]Parametres!$A$51:$A$53</definedName>
    <definedName name="list_inv">[1]Parametres!$A$25:$A$32</definedName>
    <definedName name="list_localisation">[1]Parametres!$A$7:$A$11</definedName>
    <definedName name="list_mod_avance">[1]Parametres!$A$60:$A$61</definedName>
    <definedName name="list_mod_vers">[1]Parametres!$A$84:$A$85</definedName>
    <definedName name="list_nature_act">[1]Parametres!$A$14:$A$15</definedName>
    <definedName name="list_oui_non">[1]Parametres!$A$2:$A$3</definedName>
    <definedName name="list_perso">[1]Parametres!$A$75:$A$77</definedName>
    <definedName name="list_taille">[1]Parametres!$A$19:$A$21</definedName>
    <definedName name="mt_aide_totale">'AF Porteur'!#REF!</definedName>
    <definedName name="nb_aide">'AF Porteur'!#REF!</definedName>
    <definedName name="nb_vers_chg">'AF Porteur'!#REF!</definedName>
    <definedName name="nb_vers_connaissance">'AF Porteur'!#REF!</definedName>
    <definedName name="nb_vers_decision">'AF Porteur'!#REF!</definedName>
    <definedName name="nb_vers_inv">'AF Porteur'!#REF!</definedName>
    <definedName name="nb_vers_tt_aides">'AF Porteur'!#REF!</definedName>
    <definedName name="nom_lot1">'AF Porteur'!#REF!</definedName>
    <definedName name="nom_lot2">'AF Porteur'!#REF!</definedName>
    <definedName name="nom_lot3">'AF Porteur'!#REF!</definedName>
    <definedName name="plafond_acc_projet">[1]Parametres!$A$81</definedName>
    <definedName name="plafond_diag">[1]Parametres!$A$80</definedName>
    <definedName name="sr_inv">'AF Porteur'!#REF!</definedName>
    <definedName name="theme_investissement">'AF Porteur'!#REF!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3" i="1" l="1"/>
  <c r="H92" i="1" s="1"/>
  <c r="H72" i="1"/>
  <c r="H93" i="1" s="1"/>
  <c r="H74" i="1"/>
  <c r="H94" i="1" s="1"/>
  <c r="H75" i="1"/>
  <c r="H76" i="1"/>
  <c r="G95" i="1"/>
  <c r="G94" i="1"/>
  <c r="G93" i="1"/>
  <c r="G92" i="1"/>
  <c r="H64" i="1"/>
  <c r="G77" i="1"/>
  <c r="G89" i="1" s="1"/>
  <c r="E6" i="1" s="1"/>
  <c r="H66" i="1"/>
  <c r="H67" i="1"/>
  <c r="G91" i="1"/>
  <c r="H58" i="1"/>
  <c r="H59" i="1"/>
  <c r="H60" i="1"/>
  <c r="H61" i="1"/>
  <c r="H62" i="1"/>
  <c r="H63" i="1"/>
  <c r="G90" i="1"/>
  <c r="H51" i="1"/>
  <c r="H52" i="1" s="1"/>
  <c r="H88" i="1" s="1"/>
  <c r="G52" i="1"/>
  <c r="G88" i="1" s="1"/>
  <c r="M131" i="1"/>
  <c r="M1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D124" i="1"/>
  <c r="M234" i="1"/>
  <c r="K234" i="1"/>
  <c r="M233" i="1"/>
  <c r="K233" i="1"/>
  <c r="M232" i="1"/>
  <c r="K232" i="1"/>
  <c r="F119" i="1"/>
  <c r="M230" i="1"/>
  <c r="D119" i="1"/>
  <c r="M229" i="1"/>
  <c r="K229" i="1"/>
  <c r="M228" i="1"/>
  <c r="K228" i="1"/>
  <c r="M227" i="1"/>
  <c r="K227" i="1"/>
  <c r="M226" i="1"/>
  <c r="K226" i="1"/>
  <c r="M225" i="1"/>
  <c r="K225" i="1"/>
  <c r="M224" i="1"/>
  <c r="K224" i="1"/>
  <c r="M223" i="1"/>
  <c r="K223" i="1"/>
  <c r="K222" i="1"/>
  <c r="D111" i="1"/>
  <c r="M221" i="1"/>
  <c r="K221" i="1"/>
  <c r="M220" i="1"/>
  <c r="K220" i="1"/>
  <c r="M219" i="1"/>
  <c r="K219" i="1"/>
  <c r="M218" i="1"/>
  <c r="K218" i="1"/>
  <c r="M217" i="1"/>
  <c r="K217" i="1"/>
  <c r="M216" i="1"/>
  <c r="K216" i="1"/>
  <c r="M204" i="1"/>
  <c r="M202" i="1"/>
  <c r="M191" i="1"/>
  <c r="M190" i="1"/>
  <c r="M189" i="1"/>
  <c r="M188" i="1"/>
  <c r="K188" i="1"/>
  <c r="M187" i="1"/>
  <c r="K187" i="1"/>
  <c r="O187" i="1" s="1"/>
  <c r="N187" i="1" s="1"/>
  <c r="M186" i="1"/>
  <c r="M185" i="1"/>
  <c r="M184" i="1"/>
  <c r="M183" i="1"/>
  <c r="K183" i="1"/>
  <c r="M182" i="1"/>
  <c r="K182" i="1"/>
  <c r="O182" i="1" s="1"/>
  <c r="N182" i="1" s="1"/>
  <c r="M181" i="1"/>
  <c r="M180" i="1"/>
  <c r="M179" i="1"/>
  <c r="M178" i="1"/>
  <c r="M177" i="1"/>
  <c r="M176" i="1"/>
  <c r="M175" i="1"/>
  <c r="K162" i="1"/>
  <c r="K161" i="1"/>
  <c r="K160" i="1"/>
  <c r="K158" i="1"/>
  <c r="K156" i="1"/>
  <c r="K155" i="1"/>
  <c r="K154" i="1"/>
  <c r="N153" i="1"/>
  <c r="K153" i="1"/>
  <c r="M152" i="1"/>
  <c r="M151" i="1"/>
  <c r="M150" i="1"/>
  <c r="M149" i="1"/>
  <c r="M148" i="1"/>
  <c r="M147" i="1"/>
  <c r="K147" i="1"/>
  <c r="M146" i="1"/>
  <c r="K146" i="1"/>
  <c r="M145" i="1"/>
  <c r="M144" i="1"/>
  <c r="M143" i="1"/>
  <c r="M142" i="1"/>
  <c r="M141" i="1"/>
  <c r="M140" i="1"/>
  <c r="M139" i="1"/>
  <c r="M138" i="1"/>
  <c r="O134" i="1"/>
  <c r="M133" i="1"/>
  <c r="M174" i="1"/>
  <c r="M173" i="1"/>
  <c r="M172" i="1"/>
  <c r="M171" i="1"/>
  <c r="M170" i="1"/>
  <c r="M169" i="1"/>
  <c r="M168" i="1"/>
  <c r="M167" i="1"/>
  <c r="M166" i="1"/>
  <c r="M165" i="1"/>
  <c r="M164" i="1"/>
  <c r="M163" i="1"/>
  <c r="M162" i="1"/>
  <c r="M161" i="1"/>
  <c r="M160" i="1"/>
  <c r="M159" i="1"/>
  <c r="M158" i="1"/>
  <c r="M157" i="1"/>
  <c r="M156" i="1"/>
  <c r="M155" i="1"/>
  <c r="M154" i="1"/>
  <c r="M153" i="1"/>
  <c r="M130" i="1"/>
  <c r="M129" i="1"/>
  <c r="M128" i="1"/>
  <c r="M127" i="1"/>
  <c r="M126" i="1"/>
  <c r="M125" i="1"/>
  <c r="M124" i="1"/>
  <c r="M123" i="1"/>
  <c r="M122" i="1"/>
  <c r="M121" i="1"/>
  <c r="M120" i="1"/>
  <c r="M119" i="1"/>
  <c r="M118" i="1"/>
  <c r="M117" i="1"/>
  <c r="M116" i="1"/>
  <c r="M115" i="1"/>
  <c r="M114" i="1"/>
  <c r="M113" i="1"/>
  <c r="M112" i="1"/>
  <c r="M111" i="1"/>
  <c r="M110" i="1"/>
  <c r="M109" i="1"/>
  <c r="M108" i="1"/>
  <c r="O107" i="1"/>
  <c r="N107" i="1" s="1"/>
  <c r="M107" i="1"/>
  <c r="M106" i="1"/>
  <c r="M105" i="1"/>
  <c r="M104" i="1"/>
  <c r="M103" i="1"/>
  <c r="M102" i="1"/>
  <c r="M101" i="1"/>
  <c r="M100" i="1"/>
  <c r="M99" i="1"/>
  <c r="M98" i="1"/>
  <c r="M97" i="1"/>
  <c r="M96" i="1"/>
  <c r="M89" i="1"/>
  <c r="M88" i="1"/>
  <c r="M87" i="1"/>
  <c r="M86" i="1"/>
  <c r="M85" i="1"/>
  <c r="M84" i="1"/>
  <c r="M83" i="1"/>
  <c r="M82" i="1"/>
  <c r="M81" i="1"/>
  <c r="M80" i="1"/>
  <c r="M79" i="1"/>
  <c r="M78" i="1"/>
  <c r="M77" i="1"/>
  <c r="M76" i="1"/>
  <c r="M75" i="1"/>
  <c r="M74" i="1"/>
  <c r="M73" i="1"/>
  <c r="M72" i="1"/>
  <c r="M67" i="1"/>
  <c r="M66" i="1"/>
  <c r="M65" i="1"/>
  <c r="M64" i="1"/>
  <c r="M63" i="1"/>
  <c r="M62" i="1"/>
  <c r="M61" i="1"/>
  <c r="M60" i="1"/>
  <c r="M59" i="1"/>
  <c r="M58" i="1"/>
  <c r="O57" i="1"/>
  <c r="N57" i="1" s="1"/>
  <c r="M57" i="1"/>
  <c r="M56" i="1"/>
  <c r="M55" i="1"/>
  <c r="M54" i="1"/>
  <c r="M53" i="1"/>
  <c r="M52" i="1"/>
  <c r="M51" i="1"/>
  <c r="O50" i="1"/>
  <c r="N50" i="1" s="1"/>
  <c r="M50" i="1"/>
  <c r="M49" i="1"/>
  <c r="M48" i="1"/>
  <c r="B42" i="1"/>
  <c r="B40" i="1"/>
  <c r="O36" i="1"/>
  <c r="K32" i="1"/>
  <c r="H32" i="1"/>
  <c r="G32" i="1"/>
  <c r="F32" i="1"/>
  <c r="D32" i="1"/>
  <c r="K31" i="1"/>
  <c r="H31" i="1"/>
  <c r="G31" i="1"/>
  <c r="F31" i="1"/>
  <c r="E31" i="1"/>
  <c r="D31" i="1"/>
  <c r="K30" i="1"/>
  <c r="H30" i="1"/>
  <c r="G30" i="1"/>
  <c r="F30" i="1"/>
  <c r="E30" i="1"/>
  <c r="D30" i="1"/>
  <c r="K29" i="1"/>
  <c r="H29" i="1"/>
  <c r="G29" i="1"/>
  <c r="F29" i="1"/>
  <c r="E29" i="1"/>
  <c r="D29" i="1"/>
  <c r="K28" i="1"/>
  <c r="H28" i="1"/>
  <c r="G28" i="1"/>
  <c r="F28" i="1"/>
  <c r="E28" i="1"/>
  <c r="D28" i="1"/>
  <c r="M208" i="1"/>
  <c r="N21" i="1"/>
  <c r="N20" i="1"/>
  <c r="L18" i="1"/>
  <c r="K18" i="1" s="1"/>
  <c r="N16" i="1"/>
  <c r="K16" i="1"/>
  <c r="N14" i="1"/>
  <c r="N13" i="1"/>
  <c r="M12" i="1"/>
  <c r="O11" i="1"/>
  <c r="N11" i="1" s="1"/>
  <c r="I1" i="1" s="1"/>
  <c r="L7" i="1"/>
  <c r="K202" i="1"/>
  <c r="N6" i="1"/>
  <c r="K164" i="1"/>
  <c r="O164" i="1" s="1"/>
  <c r="N164" i="1" s="1"/>
  <c r="K178" i="1"/>
  <c r="L4" i="1"/>
  <c r="K230" i="1"/>
  <c r="I196" i="1"/>
  <c r="M196" i="1"/>
  <c r="K157" i="1"/>
  <c r="O98" i="1"/>
  <c r="N98" i="1" s="1"/>
  <c r="I194" i="1"/>
  <c r="M194" i="1"/>
  <c r="K159" i="1"/>
  <c r="I193" i="1"/>
  <c r="M193" i="1" s="1"/>
  <c r="I197" i="1"/>
  <c r="M197" i="1" s="1"/>
  <c r="I195" i="1"/>
  <c r="M195" i="1" s="1"/>
  <c r="I198" i="1"/>
  <c r="I200" i="1" s="1"/>
  <c r="H90" i="1" l="1"/>
  <c r="H95" i="1"/>
  <c r="E5" i="1"/>
  <c r="G96" i="1"/>
  <c r="F5" i="1"/>
  <c r="F104" i="1"/>
  <c r="H5" i="1"/>
  <c r="H65" i="1"/>
  <c r="H91" i="1" s="1"/>
  <c r="H77" i="1"/>
  <c r="H89" i="1" s="1"/>
  <c r="H6" i="1" l="1"/>
  <c r="L6" i="1" s="1"/>
  <c r="F6" i="1"/>
  <c r="G6" i="1" s="1"/>
  <c r="K177" i="1"/>
  <c r="E7" i="1"/>
  <c r="F125" i="1" s="1"/>
  <c r="F111" i="1"/>
  <c r="K215" i="1"/>
  <c r="G5" i="1"/>
  <c r="L5" i="1"/>
  <c r="H96" i="1"/>
  <c r="F7" i="1" l="1"/>
  <c r="K236" i="1"/>
  <c r="F120" i="1"/>
  <c r="M236" i="1"/>
  <c r="H7" i="1"/>
  <c r="G7" i="1"/>
  <c r="O222" i="1"/>
  <c r="N222" i="1" s="1"/>
  <c r="M222" i="1"/>
  <c r="K231" i="1" l="1"/>
  <c r="F124" i="1"/>
  <c r="M231" i="1"/>
  <c r="O231" i="1"/>
  <c r="N231" i="1" s="1"/>
  <c r="M235" i="1" l="1"/>
  <c r="K235" i="1"/>
</calcChain>
</file>

<file path=xl/sharedStrings.xml><?xml version="1.0" encoding="utf-8"?>
<sst xmlns="http://schemas.openxmlformats.org/spreadsheetml/2006/main" count="192" uniqueCount="141">
  <si>
    <t>Synthèse</t>
  </si>
  <si>
    <t>Paramètres DAF</t>
  </si>
  <si>
    <t>Coût total de l'opération</t>
  </si>
  <si>
    <t>Système d'aide COP</t>
  </si>
  <si>
    <t>Dépenses éligibles</t>
  </si>
  <si>
    <r>
      <t xml:space="preserve">Coûts admissibles
</t>
    </r>
    <r>
      <rPr>
        <sz val="11"/>
        <color theme="1"/>
        <rFont val="Arial"/>
        <family val="2"/>
      </rPr>
      <t>(Assiette ADEME)</t>
    </r>
  </si>
  <si>
    <t>SA2.04.01</t>
  </si>
  <si>
    <t>SA2.04.03</t>
  </si>
  <si>
    <t>Investissement</t>
  </si>
  <si>
    <t>TOTAL</t>
  </si>
  <si>
    <t>Paramètres</t>
  </si>
  <si>
    <t>Avenant :</t>
  </si>
  <si>
    <t>Non</t>
  </si>
  <si>
    <t>Bénéficiaire coordinateur :</t>
  </si>
  <si>
    <t>Nature de l'activité :</t>
  </si>
  <si>
    <t>Economique</t>
  </si>
  <si>
    <t>Taille de l'entreprise :</t>
  </si>
  <si>
    <t>Grande</t>
  </si>
  <si>
    <t>Localisation :</t>
  </si>
  <si>
    <t>Métropole</t>
  </si>
  <si>
    <t>Type de bénéficiaire :</t>
  </si>
  <si>
    <t>Secteur privé</t>
  </si>
  <si>
    <t>Année prév. d'EJ :</t>
  </si>
  <si>
    <t xml:space="preserve">Bénéficiaire : </t>
  </si>
  <si>
    <t xml:space="preserve">Nombre de bénéficiaire(s) pour le projet : </t>
  </si>
  <si>
    <t>Objet de l'opération</t>
  </si>
  <si>
    <t>Oui</t>
  </si>
  <si>
    <t xml:space="preserve">Thématique de l'investissement : </t>
  </si>
  <si>
    <t>Déchets : Eco-conception / prévention</t>
  </si>
  <si>
    <t>Type d'investissement :</t>
  </si>
  <si>
    <t xml:space="preserve">Montant de la solution de référence : </t>
  </si>
  <si>
    <t>Modalités de versement</t>
  </si>
  <si>
    <t>Vous pouvez modifier les modalités de versement proposées</t>
  </si>
  <si>
    <t>Souhaitez-vous dissocier ou grouper les versements sur les différentes technologies ?</t>
  </si>
  <si>
    <t>Dissocier</t>
  </si>
  <si>
    <t>Nb de versements intermédiaires</t>
  </si>
  <si>
    <t>Avance</t>
  </si>
  <si>
    <t>Versement intermédiaire 1</t>
  </si>
  <si>
    <t>Versement intermédiaire 2</t>
  </si>
  <si>
    <t>Versement intermédiaire 3</t>
  </si>
  <si>
    <t>Modalités d'avance</t>
  </si>
  <si>
    <t>Récupération de l'avance ?</t>
  </si>
  <si>
    <t>Lier les versements à la remise d'un ERD ?</t>
  </si>
  <si>
    <t>Lier les versements à la remise de rapport ?</t>
  </si>
  <si>
    <t>Aide à la connaissance :</t>
  </si>
  <si>
    <t>Aide à la décision :</t>
  </si>
  <si>
    <t>Aide à l'investissement :</t>
  </si>
  <si>
    <t>Aide chgt comportement :</t>
  </si>
  <si>
    <t>Tout type d'aide :</t>
  </si>
  <si>
    <t>Finalisation</t>
  </si>
  <si>
    <t>Avez-vous finalisé votre annexe financière ?</t>
  </si>
  <si>
    <t>ANNEXE 2 - ANNEXE FINANCIERE</t>
  </si>
  <si>
    <t>AAP ORPLAST 3</t>
  </si>
  <si>
    <r>
      <rPr>
        <b/>
        <sz val="18"/>
        <color rgb="FFFFFFFF"/>
        <rFont val="Arial"/>
        <family val="2"/>
      </rPr>
      <t>1. C</t>
    </r>
    <r>
      <rPr>
        <b/>
        <sz val="14"/>
        <color rgb="FFFFFFFF"/>
        <rFont val="Arial"/>
        <family val="2"/>
      </rPr>
      <t>OÛT TOTAL DE L'OPÉRATION ET DÉTAIL ESTIMATIF DES DÉPENSES ÉLIGIBLES</t>
    </r>
  </si>
  <si>
    <t>Les notions de coût total et de dépenses éligibles sont définies à l'article 11.1 des règles générales. Elles sont présentées hors TVA récupérable auprès du Trésor Public.</t>
  </si>
  <si>
    <t>Catégorie de dépenses</t>
  </si>
  <si>
    <t>Détail des coûts</t>
  </si>
  <si>
    <t>Coût total de l'opération HTR (1)</t>
  </si>
  <si>
    <t>Montant des dépenses éligibles à justifier HTR (1)</t>
  </si>
  <si>
    <t>Autres dépenses de fonctionnement</t>
  </si>
  <si>
    <t>Frais de certification des dépenses</t>
  </si>
  <si>
    <t>Autres (précisez)</t>
  </si>
  <si>
    <t>(1) HTR = Hors taxes Récupérables auprès du Trésor Public ou du Fonds de compensation de la Taxe sur la Valeur Ajoutée.</t>
  </si>
  <si>
    <t>Equipements de process (précisez)</t>
  </si>
  <si>
    <t>Autres équipements (à préciser)</t>
  </si>
  <si>
    <t>Maitrise d'œuvre liée à l'investissement (prestation externe)</t>
  </si>
  <si>
    <t>Maitrise d'œuvre liée à l'investissement (dépenses internes)</t>
  </si>
  <si>
    <t>Total des dépenses liées à la réalisation d'un investissement</t>
  </si>
  <si>
    <t>(1) Les notions de coût total et de dépenses éligibles sont définies à l'article 11.1 des règles générales. Elles sont présentées hors TVA récupérable auprès du Trésor Public.</t>
  </si>
  <si>
    <t xml:space="preserve">Les charges connexes ne sont pas admises pour ce type d'aide. </t>
  </si>
  <si>
    <t>Les règles de modification de la répartition des dépenses éligibles sont définies à l'article 11.6 des règles générales.</t>
  </si>
  <si>
    <t>TOTAL DES DEPENSES DE L'OPERATION</t>
  </si>
  <si>
    <t>Le taux d'aide affiche est le plafond mais il est modifiable à la baisse</t>
  </si>
  <si>
    <t>Aide prévisionnelle maximum accordée sur la totalité de la période</t>
  </si>
  <si>
    <t>3.1 Plan de financement de l'opération et vérification du cumul des aides publiques</t>
  </si>
  <si>
    <t>Type</t>
  </si>
  <si>
    <t>Mode de financement</t>
  </si>
  <si>
    <t>Montant (HTR)</t>
  </si>
  <si>
    <t>Aides publiques</t>
  </si>
  <si>
    <t>Région</t>
  </si>
  <si>
    <t>Aides privées</t>
  </si>
  <si>
    <t>Certificats d'économie d'énergie</t>
  </si>
  <si>
    <t>Autofinancement</t>
  </si>
  <si>
    <t>Fonds propres</t>
  </si>
  <si>
    <t>Emprunt</t>
  </si>
  <si>
    <t>Crédit-Bail</t>
  </si>
  <si>
    <t>3.2 Engagements spécifiques du bénéficiaire</t>
  </si>
  <si>
    <t>Il est rappelé que le bénéficiaire s’engage à communiquer à l’ADEME toute aide publique qu’il aurait sollicitée ou reçue, solliciterait ou recevrait pour la réalisation de l’opération postérieurement à la date de notification (art.2-1-1 des règles générales).</t>
  </si>
  <si>
    <t>Aide ADEME maximum avant analyse</t>
  </si>
  <si>
    <t>Total des dépenses liées à l'opération</t>
  </si>
  <si>
    <t>Axe 2 - Investissement</t>
  </si>
  <si>
    <t>Installation d'une unité de déconditionnement et d'hygiénisation sur site de traitement</t>
  </si>
  <si>
    <t>Installation d'une unité d'hygiénisation sur site de traitement</t>
  </si>
  <si>
    <t>N° de contrat (ADEME)</t>
  </si>
  <si>
    <t>Etude territoriale</t>
  </si>
  <si>
    <t>Non-économique</t>
  </si>
  <si>
    <t>France métropolitaine</t>
  </si>
  <si>
    <t>Zone AFR</t>
  </si>
  <si>
    <t>Corse</t>
  </si>
  <si>
    <t>DROM-COM</t>
  </si>
  <si>
    <t>International</t>
  </si>
  <si>
    <t>Moyenne</t>
  </si>
  <si>
    <t>Petite</t>
  </si>
  <si>
    <t>Association</t>
  </si>
  <si>
    <t>Secteur public</t>
  </si>
  <si>
    <t>Axe 1 - Etude territoriale</t>
  </si>
  <si>
    <t>Dépenses liées à l'axe 2 - Investissements dans une unité de déconditionnement et/ou hygiénisation des biodéchets</t>
  </si>
  <si>
    <t>Dépenses liées à l'axe 1 - Etude</t>
  </si>
  <si>
    <t>Dépenses liées à l'axe 2 - Investissements</t>
  </si>
  <si>
    <t>Plan de financement</t>
  </si>
  <si>
    <t>Le bénéficiaire s'engage à vérifier qu'il ne dépasse pas, pour l'opération concernée, le cumul des aides publiques autorisé par la réglementation nationale et la réglementation communautaire.</t>
  </si>
  <si>
    <t>Aide ADEME</t>
  </si>
  <si>
    <t>Prestations extérieures - Etude (Nom du sous-traitant)</t>
  </si>
  <si>
    <t>Nom du bureau d'études</t>
  </si>
  <si>
    <t>Taux d'aide ADEME</t>
  </si>
  <si>
    <t>Axe 1 - Etudes</t>
  </si>
  <si>
    <t>Axe 2 - Investissements</t>
  </si>
  <si>
    <t>TPE</t>
  </si>
  <si>
    <t>PME</t>
  </si>
  <si>
    <t>GE</t>
  </si>
  <si>
    <t>Acteurs non-économiques</t>
  </si>
  <si>
    <t>Quelles sont les dépenses éligibles?</t>
  </si>
  <si>
    <t>Axe 2  :  Investissements :</t>
  </si>
  <si>
    <t xml:space="preserve">Les seules dépenses éligibles pour la phase 1 sont celles liées à la maitrise d’œuvre externe de l’étude (prestation externe). </t>
  </si>
  <si>
    <r>
      <t>•</t>
    </r>
    <r>
      <rPr>
        <sz val="10.5"/>
        <color rgb="FF000000"/>
        <rFont val="Arial"/>
        <family val="2"/>
      </rPr>
      <t xml:space="preserve"> les investissements mettant en œuvre des opérations de déconditionnement et/ou d'hygiénisation des biodéchets :</t>
    </r>
  </si>
  <si>
    <t xml:space="preserve">• La prestation pour les travaux de construction de l’installation (aucun aide ne sera attribuée pour des travaux effectués en interne) </t>
  </si>
  <si>
    <t>Installation d'une unité de déconditionnement et/ou d'hygiénisation mutualisée</t>
  </si>
  <si>
    <t>Dont équipements de process</t>
  </si>
  <si>
    <t>Dont autres équipements</t>
  </si>
  <si>
    <t>Dont maîtrise d'œuvre (interne)</t>
  </si>
  <si>
    <t>Dont maîtrise d'œuvre (externe)</t>
  </si>
  <si>
    <t>Dont frais de certification des dépenses</t>
  </si>
  <si>
    <t>Dont autres dépenses</t>
  </si>
  <si>
    <t>SI l'entreprise appartient à un groupe, les chiffres du groupe sont considérés</t>
  </si>
  <si>
    <t>Définition des tailles d'entreprises ---&gt;</t>
  </si>
  <si>
    <t>Annexe financière - AAP DECONDITIO Normandie : "Déconditionnement et hygiénisation des biodéchets en Normandie"</t>
  </si>
  <si>
    <t>Aménagement / Construction de l'installation (à préciser)</t>
  </si>
  <si>
    <t>Dépenses liées à l'axe 1 : Etude préalable</t>
  </si>
  <si>
    <t>Total des dépenses liées à l'étude préalable</t>
  </si>
  <si>
    <t>o Fourniture et mise en place de l’équipement de déconditionnement, trémies de réception, systèmes de convoyage entre les différents éléments de la ligne de déconditionnement, liaison entre le déconditionneur et l’équipement d’hygiénisation, le cas échéant ;
o Équipement d’hygiénisation ;
o Équipement de déconditionnement ;
o Ligne d’épuration des soupes
o Stockage des intrants, stockage aval des produits sortants, fosses et réservoirs à incendie ;
o Cuve de réception de la pulpe organique avant traitement par méthanisation ;
o Cuves de sédimentation
o Les bâtiments abritant l’unité de déconditionnement.
o Laveur de caisses
o Traitement de l’air vicié</t>
  </si>
  <si>
    <t>• La maîtrise d’œuvre externe ;
• La maîtrise d’œuvre interne (plafonnées à 10 % du coût total de l’opération)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</si>
</sst>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quot;€&quot;"/>
    <numFmt numFmtId="165" formatCode="#,##0.00\ &quot;€&quot;&quot; nets&quot;"/>
    <numFmt numFmtId="166" formatCode="_-* #,##0.00\ [$€-40C]_-;\-* #,##0.00\ [$€-40C]_-;_-* &quot;-&quot;??\ [$€-40C]_-;_-@_-"/>
  </numFmts>
  <fonts count="38" x14ac:knownFonts="1">
    <font>
      <sz val="11"/>
      <color theme="1"/>
      <name val="Calibri"/>
      <family val="2"/>
      <scheme val="minor"/>
    </font>
    <font>
      <sz val="11"/>
      <color theme="1"/>
      <name val="Calibri"/>
      <family val="2"/>
      <scheme val="minor"/>
    </font>
    <font>
      <sz val="11"/>
      <color theme="1"/>
      <name val="Arial"/>
      <family val="2"/>
    </font>
    <font>
      <b/>
      <sz val="11"/>
      <color rgb="FFFF0000"/>
      <name val="Arial"/>
      <family val="2"/>
    </font>
    <font>
      <sz val="11"/>
      <name val="Arial"/>
      <family val="2"/>
    </font>
    <font>
      <sz val="11"/>
      <color theme="0" tint="-0.499984740745262"/>
      <name val="Arial"/>
      <family val="2"/>
    </font>
    <font>
      <b/>
      <u/>
      <sz val="11"/>
      <color rgb="FFFF0000"/>
      <name val="Arial"/>
      <family val="2"/>
    </font>
    <font>
      <sz val="12"/>
      <color theme="1"/>
      <name val="Arial"/>
      <family val="2"/>
    </font>
    <font>
      <b/>
      <sz val="14"/>
      <color rgb="FFFFFFFF"/>
      <name val="Arial"/>
      <family val="2"/>
    </font>
    <font>
      <b/>
      <sz val="11"/>
      <color theme="1"/>
      <name val="Arial"/>
      <family val="2"/>
    </font>
    <font>
      <b/>
      <sz val="11"/>
      <name val="Arial"/>
      <family val="2"/>
    </font>
    <font>
      <b/>
      <sz val="14"/>
      <name val="Arial"/>
      <family val="2"/>
    </font>
    <font>
      <sz val="11"/>
      <color theme="0"/>
      <name val="Arial"/>
      <family val="2"/>
    </font>
    <font>
      <b/>
      <sz val="12"/>
      <color theme="1"/>
      <name val="Arial"/>
      <family val="2"/>
    </font>
    <font>
      <sz val="11"/>
      <color rgb="FF002060"/>
      <name val="Arial"/>
      <family val="2"/>
    </font>
    <font>
      <b/>
      <sz val="11"/>
      <color theme="0"/>
      <name val="Arial"/>
      <family val="2"/>
    </font>
    <font>
      <b/>
      <sz val="20"/>
      <color theme="0"/>
      <name val="Arial"/>
      <family val="2"/>
    </font>
    <font>
      <b/>
      <sz val="20"/>
      <name val="Arial"/>
      <family val="2"/>
    </font>
    <font>
      <b/>
      <sz val="14"/>
      <color theme="0"/>
      <name val="Arial"/>
      <family val="2"/>
    </font>
    <font>
      <b/>
      <sz val="18"/>
      <color rgb="FFFFFFFF"/>
      <name val="Arial"/>
      <family val="2"/>
    </font>
    <font>
      <b/>
      <u/>
      <sz val="12"/>
      <color theme="1"/>
      <name val="Arial"/>
      <family val="2"/>
    </font>
    <font>
      <sz val="10"/>
      <name val="Arial"/>
      <family val="2"/>
    </font>
    <font>
      <i/>
      <sz val="10"/>
      <name val="Arial"/>
      <family val="2"/>
    </font>
    <font>
      <sz val="11"/>
      <color rgb="FF0070C0"/>
      <name val="Arial"/>
      <family val="2"/>
    </font>
    <font>
      <sz val="11"/>
      <color rgb="FF1F497D"/>
      <name val="Arial"/>
      <family val="2"/>
    </font>
    <font>
      <b/>
      <sz val="10"/>
      <name val="Arial"/>
      <family val="2"/>
    </font>
    <font>
      <sz val="10"/>
      <color indexed="8"/>
      <name val="Arial"/>
      <family val="2"/>
    </font>
    <font>
      <b/>
      <u/>
      <sz val="11"/>
      <color theme="1"/>
      <name val="Arial"/>
      <family val="2"/>
    </font>
    <font>
      <sz val="9"/>
      <color theme="1"/>
      <name val="Arial"/>
      <family val="2"/>
    </font>
    <font>
      <u/>
      <sz val="11"/>
      <color theme="1"/>
      <name val="Arial"/>
      <family val="2"/>
    </font>
    <font>
      <b/>
      <sz val="14"/>
      <color theme="1"/>
      <name val="Calibri"/>
      <family val="2"/>
      <scheme val="minor"/>
    </font>
    <font>
      <b/>
      <sz val="32"/>
      <color rgb="FF000000"/>
      <name val="Arial"/>
      <family val="2"/>
    </font>
    <font>
      <b/>
      <sz val="12"/>
      <color rgb="FF000000"/>
      <name val="Arial"/>
      <family val="2"/>
    </font>
    <font>
      <sz val="10.5"/>
      <color theme="1"/>
      <name val="Arial"/>
      <family val="2"/>
    </font>
    <font>
      <sz val="10.5"/>
      <color rgb="FF000000"/>
      <name val="Arial"/>
      <family val="2"/>
    </font>
    <font>
      <sz val="20"/>
      <color theme="0"/>
      <name val="Marianne"/>
      <family val="3"/>
    </font>
    <font>
      <i/>
      <sz val="11"/>
      <color theme="1"/>
      <name val="Arial"/>
      <family val="2"/>
    </font>
    <font>
      <b/>
      <sz val="8"/>
      <color rgb="FFFF0000"/>
      <name val="Arial"/>
      <family val="2"/>
    </font>
  </fonts>
  <fills count="12">
    <fill>
      <patternFill patternType="none"/>
    </fill>
    <fill>
      <patternFill patternType="gray125"/>
    </fill>
    <fill>
      <patternFill patternType="solid">
        <fgColor rgb="FFFFF2CD"/>
        <bgColor indexed="64"/>
      </patternFill>
    </fill>
    <fill>
      <patternFill patternType="solid">
        <fgColor rgb="FF1F497D"/>
        <bgColor rgb="FF000000"/>
      </patternFill>
    </fill>
    <fill>
      <patternFill patternType="solid">
        <fgColor theme="0" tint="-4.9989318521683403E-2"/>
        <bgColor indexed="64"/>
      </patternFill>
    </fill>
    <fill>
      <patternFill patternType="solid">
        <fgColor rgb="FFFFF2CC"/>
        <bgColor indexed="64"/>
      </patternFill>
    </fill>
    <fill>
      <patternFill patternType="solid">
        <fgColor rgb="FFE41D1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tint="-0.499984740745262"/>
        <bgColor indexed="64"/>
      </patternFill>
    </fill>
  </fills>
  <borders count="41">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thin">
        <color theme="0"/>
      </left>
      <right style="thin">
        <color theme="0"/>
      </right>
      <top style="thin">
        <color theme="0"/>
      </top>
      <bottom style="thin">
        <color theme="0"/>
      </bottom>
      <diagonal/>
    </border>
    <border>
      <left style="thin">
        <color theme="0"/>
      </left>
      <right/>
      <top/>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auto="1"/>
      </bottom>
      <diagonal/>
    </border>
    <border>
      <left style="thin">
        <color indexed="64"/>
      </left>
      <right style="thin">
        <color indexed="64"/>
      </right>
      <top/>
      <bottom/>
      <diagonal/>
    </border>
    <border>
      <left/>
      <right/>
      <top style="thin">
        <color indexed="64"/>
      </top>
      <bottom style="thin">
        <color theme="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top style="thin">
        <color indexed="64"/>
      </top>
      <bottom/>
      <diagonal/>
    </border>
    <border>
      <left style="thin">
        <color auto="1"/>
      </left>
      <right/>
      <top style="thin">
        <color auto="1"/>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bottom style="thin">
        <color theme="0"/>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bottom/>
      <diagonal/>
    </border>
  </borders>
  <cellStyleXfs count="4">
    <xf numFmtId="0" fontId="0" fillId="0" borderId="0"/>
    <xf numFmtId="9" fontId="1" fillId="0" borderId="0" applyFont="0" applyFill="0" applyBorder="0" applyAlignment="0" applyProtection="0"/>
    <xf numFmtId="0" fontId="21" fillId="0" borderId="0"/>
    <xf numFmtId="0" fontId="21" fillId="0" borderId="0"/>
  </cellStyleXfs>
  <cellXfs count="217">
    <xf numFmtId="0" fontId="0" fillId="0" borderId="0" xfId="0"/>
    <xf numFmtId="0" fontId="2" fillId="2" borderId="0" xfId="0" applyFont="1" applyFill="1" applyAlignment="1" applyProtection="1">
      <alignment vertical="center" wrapText="1"/>
      <protection locked="0"/>
    </xf>
    <xf numFmtId="0" fontId="3" fillId="0" borderId="0" xfId="0" applyFont="1" applyAlignment="1">
      <alignment vertical="center"/>
    </xf>
    <xf numFmtId="0" fontId="2" fillId="0" borderId="0" xfId="0" applyFont="1" applyAlignment="1">
      <alignment vertical="center" wrapText="1"/>
    </xf>
    <xf numFmtId="0" fontId="4" fillId="0" borderId="0" xfId="0" applyFont="1" applyFill="1" applyBorder="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 fontId="4" fillId="0" borderId="0" xfId="0" applyNumberFormat="1" applyFont="1" applyAlignment="1">
      <alignment horizontal="center" vertical="center" wrapText="1"/>
    </xf>
    <xf numFmtId="0" fontId="6" fillId="0" borderId="0" xfId="0" applyFont="1" applyAlignment="1">
      <alignment vertical="center"/>
    </xf>
    <xf numFmtId="0" fontId="7" fillId="0" borderId="0" xfId="0" applyFont="1" applyAlignment="1">
      <alignment vertical="center" wrapText="1"/>
    </xf>
    <xf numFmtId="0" fontId="8" fillId="3" borderId="1" xfId="0" applyFont="1" applyFill="1" applyBorder="1" applyAlignment="1" applyProtection="1">
      <alignment vertical="center"/>
    </xf>
    <xf numFmtId="0" fontId="8" fillId="3" borderId="2" xfId="0" applyFont="1" applyFill="1" applyBorder="1" applyAlignment="1" applyProtection="1">
      <alignment vertical="center" wrapText="1"/>
    </xf>
    <xf numFmtId="1" fontId="4" fillId="0" borderId="0" xfId="1" applyNumberFormat="1" applyFont="1" applyAlignment="1">
      <alignment horizontal="center" vertical="center" wrapText="1"/>
    </xf>
    <xf numFmtId="0" fontId="9" fillId="4" borderId="5"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164" fontId="4" fillId="0" borderId="0" xfId="0" applyNumberFormat="1" applyFont="1" applyFill="1" applyBorder="1" applyAlignment="1">
      <alignment horizontal="right" vertical="center" wrapText="1"/>
    </xf>
    <xf numFmtId="0" fontId="2" fillId="0" borderId="11" xfId="0" applyFont="1" applyBorder="1" applyAlignment="1">
      <alignment horizontal="center" vertical="center" wrapText="1"/>
    </xf>
    <xf numFmtId="164" fontId="2" fillId="0" borderId="11" xfId="0" applyNumberFormat="1" applyFont="1" applyBorder="1" applyAlignment="1">
      <alignment horizontal="right" vertical="center" wrapText="1"/>
    </xf>
    <xf numFmtId="165" fontId="2" fillId="0" borderId="11" xfId="0" applyNumberFormat="1" applyFont="1" applyBorder="1" applyAlignment="1">
      <alignment horizontal="right" vertical="center" wrapText="1"/>
    </xf>
    <xf numFmtId="165" fontId="2" fillId="0" borderId="10" xfId="0" applyNumberFormat="1" applyFont="1" applyBorder="1" applyAlignment="1">
      <alignment horizontal="right" vertical="center" wrapText="1"/>
    </xf>
    <xf numFmtId="0" fontId="2" fillId="5" borderId="11" xfId="0" applyFont="1" applyFill="1" applyBorder="1" applyAlignment="1" applyProtection="1">
      <alignment horizontal="center" vertical="center" wrapText="1"/>
      <protection locked="0"/>
    </xf>
    <xf numFmtId="164" fontId="2" fillId="0" borderId="14" xfId="0" applyNumberFormat="1" applyFont="1" applyBorder="1" applyAlignment="1">
      <alignment horizontal="right" vertical="center" wrapText="1"/>
    </xf>
    <xf numFmtId="0" fontId="9" fillId="4" borderId="5" xfId="0" applyFont="1" applyFill="1" applyBorder="1" applyAlignment="1">
      <alignment horizontal="center" vertical="center" wrapText="1"/>
    </xf>
    <xf numFmtId="164" fontId="9" fillId="4" borderId="5" xfId="0" applyNumberFormat="1" applyFont="1" applyFill="1" applyBorder="1" applyAlignment="1">
      <alignment horizontal="right" vertical="center" wrapText="1"/>
    </xf>
    <xf numFmtId="164" fontId="9" fillId="4" borderId="5" xfId="0" applyNumberFormat="1" applyFont="1" applyFill="1" applyBorder="1" applyAlignment="1">
      <alignment horizontal="right" vertical="center" wrapText="1" indent="3"/>
    </xf>
    <xf numFmtId="164" fontId="10" fillId="0" borderId="0" xfId="0" applyNumberFormat="1" applyFont="1" applyFill="1" applyBorder="1" applyAlignment="1">
      <alignment horizontal="right" vertical="center" wrapText="1"/>
    </xf>
    <xf numFmtId="164" fontId="9" fillId="4" borderId="4" xfId="0" applyNumberFormat="1" applyFont="1" applyFill="1" applyBorder="1" applyAlignment="1">
      <alignment horizontal="right" vertical="center" wrapText="1" indent="3"/>
    </xf>
    <xf numFmtId="164" fontId="2" fillId="0" borderId="0" xfId="0" applyNumberFormat="1" applyFont="1" applyAlignment="1">
      <alignment horizontal="right" vertical="center" wrapText="1"/>
    </xf>
    <xf numFmtId="0" fontId="10" fillId="0" borderId="0" xfId="0" applyFont="1" applyAlignment="1">
      <alignment horizontal="center" vertical="center" wrapText="1"/>
    </xf>
    <xf numFmtId="1" fontId="10" fillId="0" borderId="0" xfId="0" applyNumberFormat="1" applyFont="1" applyAlignment="1">
      <alignment horizontal="center" vertical="center" wrapText="1"/>
    </xf>
    <xf numFmtId="0" fontId="11" fillId="0" borderId="0" xfId="0" applyFont="1" applyFill="1" applyBorder="1" applyAlignment="1" applyProtection="1">
      <alignment vertical="center" wrapText="1"/>
    </xf>
    <xf numFmtId="0" fontId="2" fillId="2" borderId="15" xfId="0" applyFont="1" applyFill="1" applyBorder="1" applyAlignment="1" applyProtection="1">
      <alignment horizontal="center" vertical="center" wrapText="1"/>
      <protection locked="0"/>
    </xf>
    <xf numFmtId="0" fontId="2" fillId="0" borderId="16" xfId="0" applyFont="1" applyBorder="1" applyAlignment="1">
      <alignment vertical="center" wrapText="1"/>
    </xf>
    <xf numFmtId="0" fontId="2" fillId="0" borderId="0" xfId="0" applyFont="1" applyAlignment="1">
      <alignment vertical="center"/>
    </xf>
    <xf numFmtId="0" fontId="2" fillId="2" borderId="15" xfId="0" applyFont="1" applyFill="1" applyBorder="1" applyAlignment="1" applyProtection="1">
      <alignment horizontal="center" vertical="center"/>
      <protection locked="0"/>
    </xf>
    <xf numFmtId="0" fontId="12" fillId="0" borderId="0" xfId="0" applyFont="1" applyAlignment="1">
      <alignment vertical="center"/>
    </xf>
    <xf numFmtId="0" fontId="7" fillId="0" borderId="0" xfId="0" applyFont="1" applyAlignment="1">
      <alignment vertical="center"/>
    </xf>
    <xf numFmtId="0" fontId="4" fillId="0" borderId="0" xfId="0" applyFont="1" applyFill="1" applyBorder="1" applyAlignment="1">
      <alignment vertical="center"/>
    </xf>
    <xf numFmtId="0" fontId="10" fillId="0" borderId="0" xfId="0" applyFont="1" applyAlignment="1">
      <alignment horizontal="center" vertical="center"/>
    </xf>
    <xf numFmtId="0" fontId="5" fillId="0" borderId="0" xfId="0" applyFont="1" applyAlignment="1">
      <alignment horizontal="center" vertical="center"/>
    </xf>
    <xf numFmtId="1" fontId="4" fillId="0" borderId="0" xfId="1" applyNumberFormat="1" applyFont="1" applyAlignment="1">
      <alignment horizontal="center" vertical="center"/>
    </xf>
    <xf numFmtId="0" fontId="12" fillId="0" borderId="0" xfId="0" applyFont="1" applyAlignment="1">
      <alignment vertical="center" wrapText="1"/>
    </xf>
    <xf numFmtId="0" fontId="2" fillId="2" borderId="0" xfId="0" applyFont="1" applyFill="1" applyBorder="1" applyAlignment="1" applyProtection="1">
      <alignment horizontal="center" vertical="center" wrapText="1"/>
      <protection locked="0"/>
    </xf>
    <xf numFmtId="1" fontId="4" fillId="0" borderId="0" xfId="0" applyNumberFormat="1" applyFont="1" applyFill="1" applyBorder="1" applyAlignment="1">
      <alignment horizontal="center" vertical="center" wrapText="1"/>
    </xf>
    <xf numFmtId="0" fontId="9" fillId="0" borderId="0" xfId="0" applyFont="1" applyAlignment="1">
      <alignment vertical="center"/>
    </xf>
    <xf numFmtId="0" fontId="9" fillId="2" borderId="15" xfId="0" applyFont="1" applyFill="1" applyBorder="1" applyAlignment="1" applyProtection="1">
      <alignment horizontal="center" vertical="center" wrapText="1"/>
      <protection locked="0"/>
    </xf>
    <xf numFmtId="0" fontId="9" fillId="0" borderId="0" xfId="0" applyFont="1" applyAlignment="1">
      <alignment vertical="center" wrapText="1"/>
    </xf>
    <xf numFmtId="0" fontId="10" fillId="0" borderId="0" xfId="0" applyFont="1" applyFill="1" applyBorder="1" applyAlignment="1">
      <alignment vertical="center" wrapText="1"/>
    </xf>
    <xf numFmtId="0" fontId="4" fillId="0" borderId="0" xfId="0" applyFont="1" applyFill="1" applyBorder="1" applyAlignment="1">
      <alignment horizontal="center" vertical="center" wrapText="1"/>
    </xf>
    <xf numFmtId="0" fontId="13" fillId="0" borderId="0" xfId="0" applyFont="1" applyAlignment="1">
      <alignment vertical="center" wrapText="1"/>
    </xf>
    <xf numFmtId="0" fontId="10" fillId="0" borderId="0" xfId="0" applyFont="1" applyAlignment="1">
      <alignment horizontal="left" vertical="center"/>
    </xf>
    <xf numFmtId="164" fontId="4" fillId="5" borderId="18" xfId="0" applyNumberFormat="1" applyFont="1" applyFill="1" applyBorder="1" applyAlignment="1" applyProtection="1">
      <alignment horizontal="center" vertical="center" wrapText="1"/>
      <protection locked="0"/>
    </xf>
    <xf numFmtId="0" fontId="14" fillId="0" borderId="0" xfId="0" applyFont="1" applyAlignment="1">
      <alignment vertical="center"/>
    </xf>
    <xf numFmtId="0" fontId="2" fillId="5" borderId="0" xfId="0" applyFont="1" applyFill="1" applyAlignment="1" applyProtection="1">
      <alignment horizontal="center" vertical="center" wrapText="1"/>
      <protection locked="0"/>
    </xf>
    <xf numFmtId="0" fontId="2" fillId="0" borderId="19" xfId="0" applyFont="1" applyBorder="1" applyAlignment="1">
      <alignment vertical="center" wrapText="1"/>
    </xf>
    <xf numFmtId="0" fontId="15" fillId="0" borderId="20" xfId="0" applyFont="1" applyFill="1" applyBorder="1" applyAlignment="1">
      <alignment horizontal="center" vertical="center" wrapText="1"/>
    </xf>
    <xf numFmtId="0" fontId="9" fillId="0" borderId="5" xfId="0" applyFont="1" applyBorder="1" applyAlignment="1">
      <alignment horizontal="center" vertical="center" wrapText="1"/>
    </xf>
    <xf numFmtId="0" fontId="2" fillId="0" borderId="6" xfId="0" applyFont="1" applyBorder="1" applyAlignment="1">
      <alignment vertical="center" wrapText="1"/>
    </xf>
    <xf numFmtId="0" fontId="2" fillId="5" borderId="8" xfId="0" applyFont="1" applyFill="1" applyBorder="1" applyAlignment="1" applyProtection="1">
      <alignment horizontal="center" vertical="center" wrapText="1"/>
      <protection locked="0"/>
    </xf>
    <xf numFmtId="9" fontId="2" fillId="5" borderId="8" xfId="1" applyFont="1" applyFill="1" applyBorder="1" applyAlignment="1" applyProtection="1">
      <alignment horizontal="center" vertical="center" wrapText="1"/>
      <protection locked="0"/>
    </xf>
    <xf numFmtId="0" fontId="12" fillId="0" borderId="2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protection locked="0"/>
    </xf>
    <xf numFmtId="0" fontId="2" fillId="0" borderId="9" xfId="0" applyFont="1" applyBorder="1" applyAlignment="1">
      <alignment vertical="center" wrapText="1"/>
    </xf>
    <xf numFmtId="9" fontId="2" fillId="5" borderId="11" xfId="1"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0" borderId="11" xfId="0" applyFont="1" applyBorder="1" applyAlignment="1">
      <alignment vertical="center" wrapText="1"/>
    </xf>
    <xf numFmtId="0" fontId="2" fillId="0" borderId="12" xfId="0" applyFont="1" applyBorder="1" applyAlignment="1">
      <alignment vertical="center" wrapText="1"/>
    </xf>
    <xf numFmtId="0" fontId="2" fillId="5" borderId="14" xfId="0" applyFont="1" applyFill="1" applyBorder="1" applyAlignment="1" applyProtection="1">
      <alignment horizontal="center" vertical="center" wrapText="1"/>
      <protection locked="0"/>
    </xf>
    <xf numFmtId="9" fontId="2" fillId="5" borderId="14" xfId="1" applyFont="1" applyFill="1" applyBorder="1" applyAlignment="1" applyProtection="1">
      <alignment horizontal="center" vertical="center" wrapText="1"/>
      <protection locked="0"/>
    </xf>
    <xf numFmtId="0" fontId="2" fillId="2" borderId="14" xfId="0" applyFont="1" applyFill="1" applyBorder="1" applyAlignment="1" applyProtection="1">
      <alignment horizontal="center" vertical="center" wrapText="1"/>
      <protection locked="0"/>
    </xf>
    <xf numFmtId="0" fontId="2" fillId="0" borderId="21"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wrapText="1"/>
    </xf>
    <xf numFmtId="9" fontId="4" fillId="0" borderId="0" xfId="1" applyFont="1" applyAlignment="1">
      <alignment horizontal="center" vertical="center" wrapText="1"/>
    </xf>
    <xf numFmtId="0" fontId="17"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4" fillId="0" borderId="0" xfId="0" applyFont="1" applyFill="1" applyBorder="1" applyAlignment="1">
      <alignment horizontal="justify" vertical="center" wrapText="1"/>
    </xf>
    <xf numFmtId="0" fontId="20" fillId="0" borderId="0" xfId="0" applyFont="1" applyAlignment="1">
      <alignment vertical="center"/>
    </xf>
    <xf numFmtId="0" fontId="9" fillId="4" borderId="3" xfId="0" applyFont="1" applyFill="1" applyBorder="1" applyAlignment="1" applyProtection="1">
      <alignment horizontal="center" vertical="center" wrapText="1"/>
    </xf>
    <xf numFmtId="164" fontId="2" fillId="5" borderId="8" xfId="0" applyNumberFormat="1" applyFont="1" applyFill="1" applyBorder="1" applyAlignment="1" applyProtection="1">
      <alignment horizontal="right" vertical="center" wrapText="1"/>
      <protection locked="0"/>
    </xf>
    <xf numFmtId="164" fontId="2" fillId="7" borderId="8" xfId="0" applyNumberFormat="1" applyFont="1" applyFill="1" applyBorder="1" applyAlignment="1" applyProtection="1">
      <alignment horizontal="right" vertical="center" wrapText="1"/>
      <protection locked="0"/>
    </xf>
    <xf numFmtId="164" fontId="2" fillId="5" borderId="11" xfId="0" applyNumberFormat="1" applyFont="1" applyFill="1" applyBorder="1" applyAlignment="1" applyProtection="1">
      <alignment horizontal="right" vertical="center" wrapText="1"/>
      <protection locked="0"/>
    </xf>
    <xf numFmtId="164" fontId="2" fillId="7" borderId="11" xfId="0" applyNumberFormat="1" applyFont="1" applyFill="1" applyBorder="1" applyAlignment="1" applyProtection="1">
      <alignment horizontal="right" vertical="center" wrapText="1"/>
      <protection locked="0"/>
    </xf>
    <xf numFmtId="164" fontId="9" fillId="8" borderId="14" xfId="0" applyNumberFormat="1" applyFont="1" applyFill="1" applyBorder="1" applyAlignment="1">
      <alignment horizontal="right" vertical="center" wrapText="1"/>
    </xf>
    <xf numFmtId="0" fontId="9" fillId="4" borderId="3" xfId="0" applyFont="1" applyFill="1" applyBorder="1" applyAlignment="1">
      <alignment horizontal="left" vertical="center" wrapText="1"/>
    </xf>
    <xf numFmtId="0" fontId="9" fillId="4" borderId="27" xfId="0" applyFont="1" applyFill="1" applyBorder="1" applyAlignment="1">
      <alignment horizontal="left" vertical="center" wrapText="1"/>
    </xf>
    <xf numFmtId="0" fontId="9" fillId="4" borderId="4" xfId="0" applyFont="1" applyFill="1" applyBorder="1" applyAlignment="1">
      <alignment horizontal="left" vertical="center" wrapText="1"/>
    </xf>
    <xf numFmtId="164" fontId="9" fillId="4" borderId="14" xfId="0" applyNumberFormat="1" applyFont="1" applyFill="1" applyBorder="1" applyAlignment="1">
      <alignment horizontal="right" vertical="center" wrapText="1"/>
    </xf>
    <xf numFmtId="0" fontId="2" fillId="5" borderId="25" xfId="0" applyFont="1" applyFill="1" applyBorder="1" applyAlignment="1" applyProtection="1">
      <alignment horizontal="left" vertical="center" wrapText="1"/>
      <protection locked="0"/>
    </xf>
    <xf numFmtId="0" fontId="2" fillId="5" borderId="10" xfId="0" applyFont="1" applyFill="1" applyBorder="1" applyAlignment="1" applyProtection="1">
      <alignment horizontal="left" vertical="center" wrapText="1"/>
      <protection locked="0"/>
    </xf>
    <xf numFmtId="0" fontId="2" fillId="5" borderId="9" xfId="0" applyFont="1" applyFill="1" applyBorder="1" applyAlignment="1" applyProtection="1">
      <alignment horizontal="left" vertical="center"/>
      <protection locked="0"/>
    </xf>
    <xf numFmtId="164" fontId="4" fillId="0" borderId="0" xfId="0" applyNumberFormat="1" applyFont="1" applyFill="1" applyBorder="1" applyAlignment="1">
      <alignment vertical="center" wrapText="1"/>
    </xf>
    <xf numFmtId="164" fontId="9" fillId="4" borderId="5" xfId="0" applyNumberFormat="1" applyFont="1" applyFill="1" applyBorder="1" applyAlignment="1">
      <alignment vertical="center" wrapText="1"/>
    </xf>
    <xf numFmtId="164" fontId="10" fillId="0" borderId="0" xfId="0" applyNumberFormat="1" applyFont="1" applyFill="1" applyBorder="1" applyAlignment="1">
      <alignment vertical="center" wrapText="1"/>
    </xf>
    <xf numFmtId="0" fontId="2" fillId="0" borderId="28" xfId="0" applyFont="1" applyBorder="1" applyAlignment="1">
      <alignment vertical="center" wrapText="1"/>
    </xf>
    <xf numFmtId="0" fontId="9" fillId="4" borderId="3" xfId="0" applyFont="1" applyFill="1" applyBorder="1" applyAlignment="1" applyProtection="1">
      <alignment horizontal="left" vertical="center" wrapText="1"/>
    </xf>
    <xf numFmtId="0" fontId="9" fillId="4" borderId="27"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2" fillId="5" borderId="26" xfId="0" applyFont="1" applyFill="1" applyBorder="1" applyAlignment="1" applyProtection="1">
      <alignment horizontal="left" vertical="center" wrapText="1"/>
      <protection locked="0"/>
    </xf>
    <xf numFmtId="0" fontId="2" fillId="5" borderId="13" xfId="0" applyFont="1" applyFill="1" applyBorder="1" applyAlignment="1" applyProtection="1">
      <alignment horizontal="left" vertical="center" wrapText="1"/>
      <protection locked="0"/>
    </xf>
    <xf numFmtId="164" fontId="2" fillId="5" borderId="14" xfId="0" applyNumberFormat="1" applyFont="1" applyFill="1" applyBorder="1" applyAlignment="1" applyProtection="1">
      <alignment horizontal="right" vertical="center" wrapText="1"/>
      <protection locked="0"/>
    </xf>
    <xf numFmtId="164" fontId="2" fillId="7" borderId="14" xfId="0" applyNumberFormat="1" applyFont="1" applyFill="1" applyBorder="1" applyAlignment="1" applyProtection="1">
      <alignment horizontal="right" vertical="center" wrapText="1"/>
      <protection locked="0"/>
    </xf>
    <xf numFmtId="0" fontId="22" fillId="8" borderId="0" xfId="2" applyFont="1" applyFill="1" applyBorder="1" applyAlignment="1" applyProtection="1"/>
    <xf numFmtId="0" fontId="0" fillId="0" borderId="0" xfId="0" applyBorder="1"/>
    <xf numFmtId="0" fontId="22" fillId="0" borderId="0" xfId="2" applyFont="1" applyFill="1" applyBorder="1" applyAlignment="1" applyProtection="1"/>
    <xf numFmtId="0" fontId="22" fillId="0" borderId="0" xfId="2" applyFont="1" applyFill="1" applyBorder="1" applyAlignment="1" applyProtection="1">
      <alignment horizontal="left"/>
    </xf>
    <xf numFmtId="0" fontId="2" fillId="0" borderId="24" xfId="0" applyFont="1" applyBorder="1" applyAlignment="1">
      <alignment horizontal="left" vertical="center" wrapText="1"/>
    </xf>
    <xf numFmtId="0" fontId="2" fillId="0" borderId="7" xfId="0" applyFont="1" applyBorder="1" applyAlignment="1">
      <alignment horizontal="left" vertical="center" wrapText="1"/>
    </xf>
    <xf numFmtId="0" fontId="2" fillId="0" borderId="25" xfId="0" applyFont="1" applyBorder="1" applyAlignment="1">
      <alignment horizontal="left" vertical="center" wrapText="1"/>
    </xf>
    <xf numFmtId="0" fontId="2" fillId="0" borderId="10" xfId="0" applyFont="1" applyBorder="1" applyAlignment="1">
      <alignment horizontal="left" vertical="center" wrapText="1"/>
    </xf>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0" fontId="2" fillId="0" borderId="11" xfId="0" applyFont="1" applyBorder="1" applyAlignment="1">
      <alignment horizontal="center" vertical="center" wrapText="1"/>
    </xf>
    <xf numFmtId="164" fontId="4" fillId="0" borderId="0" xfId="1" applyNumberFormat="1" applyFont="1" applyFill="1" applyBorder="1" applyAlignment="1">
      <alignment vertical="center" wrapText="1"/>
    </xf>
    <xf numFmtId="164" fontId="23" fillId="0" borderId="0" xfId="0" applyNumberFormat="1" applyFont="1" applyFill="1" applyBorder="1" applyAlignment="1">
      <alignment vertical="center" wrapText="1"/>
    </xf>
    <xf numFmtId="0" fontId="10" fillId="4" borderId="2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4" fillId="0" borderId="0" xfId="0" applyFont="1" applyAlignment="1">
      <alignment vertical="center"/>
    </xf>
    <xf numFmtId="0" fontId="21" fillId="0" borderId="0" xfId="2" applyFont="1" applyBorder="1" applyAlignment="1" applyProtection="1">
      <alignment vertical="center"/>
    </xf>
    <xf numFmtId="0" fontId="22" fillId="0" borderId="0" xfId="2" applyFont="1" applyBorder="1" applyAlignment="1">
      <alignment vertical="center"/>
    </xf>
    <xf numFmtId="166" fontId="9" fillId="0" borderId="8" xfId="2" applyNumberFormat="1" applyFont="1" applyFill="1" applyBorder="1" applyAlignment="1" applyProtection="1">
      <alignment horizontal="right" vertical="center" wrapText="1"/>
      <protection locked="0"/>
    </xf>
    <xf numFmtId="166" fontId="9" fillId="0" borderId="11" xfId="2" applyNumberFormat="1" applyFont="1" applyFill="1" applyBorder="1" applyAlignment="1" applyProtection="1">
      <alignment horizontal="right" vertical="center" wrapText="1"/>
      <protection locked="0"/>
    </xf>
    <xf numFmtId="166" fontId="9" fillId="0" borderId="14" xfId="2" applyNumberFormat="1" applyFont="1" applyFill="1" applyBorder="1" applyAlignment="1" applyProtection="1">
      <alignment horizontal="right" vertical="center" wrapText="1"/>
      <protection locked="0"/>
    </xf>
    <xf numFmtId="164" fontId="9" fillId="0" borderId="5" xfId="0" applyNumberFormat="1" applyFont="1" applyFill="1" applyBorder="1" applyAlignment="1" applyProtection="1">
      <alignment horizontal="right" vertical="center" wrapText="1"/>
      <protection locked="0"/>
    </xf>
    <xf numFmtId="0" fontId="25" fillId="0" borderId="30" xfId="2" applyFont="1" applyBorder="1" applyAlignment="1" applyProtection="1">
      <alignment vertical="center"/>
    </xf>
    <xf numFmtId="0" fontId="26" fillId="0" borderId="0" xfId="2" applyFont="1" applyBorder="1" applyAlignment="1" applyProtection="1">
      <alignment vertical="center" wrapText="1"/>
      <protection locked="0"/>
    </xf>
    <xf numFmtId="0" fontId="9" fillId="0" borderId="0" xfId="0" applyFont="1" applyBorder="1" applyAlignment="1" applyProtection="1">
      <alignment vertical="center" wrapText="1"/>
    </xf>
    <xf numFmtId="0" fontId="27" fillId="0" borderId="0" xfId="0" applyFont="1" applyAlignment="1" applyProtection="1">
      <alignment vertical="center"/>
    </xf>
    <xf numFmtId="0" fontId="2" fillId="0" borderId="0" xfId="0" applyFont="1" applyAlignment="1" applyProtection="1">
      <alignment vertical="center" wrapText="1"/>
    </xf>
    <xf numFmtId="0" fontId="9" fillId="9" borderId="3" xfId="0" applyFont="1" applyFill="1" applyBorder="1" applyAlignment="1" applyProtection="1">
      <alignment horizontal="center" wrapText="1"/>
    </xf>
    <xf numFmtId="0" fontId="9" fillId="9" borderId="5" xfId="0" applyFont="1" applyFill="1" applyBorder="1" applyAlignment="1" applyProtection="1">
      <alignment horizontal="center" vertical="center" wrapText="1"/>
    </xf>
    <xf numFmtId="0" fontId="2" fillId="0" borderId="0" xfId="0" applyFont="1" applyAlignment="1" applyProtection="1">
      <alignment wrapText="1"/>
    </xf>
    <xf numFmtId="0" fontId="12" fillId="0" borderId="0" xfId="0" applyFont="1" applyAlignment="1" applyProtection="1">
      <alignment vertical="center" wrapText="1"/>
    </xf>
    <xf numFmtId="0" fontId="5" fillId="0" borderId="0" xfId="0" applyFont="1" applyAlignment="1" applyProtection="1">
      <alignment horizontal="center" wrapText="1"/>
    </xf>
    <xf numFmtId="1" fontId="4" fillId="0" borderId="0" xfId="0" applyNumberFormat="1" applyFont="1" applyAlignment="1" applyProtection="1">
      <alignment horizontal="center" wrapText="1"/>
    </xf>
    <xf numFmtId="0" fontId="3" fillId="0" borderId="0" xfId="0" applyFont="1" applyAlignment="1" applyProtection="1"/>
    <xf numFmtId="164" fontId="2" fillId="0" borderId="11" xfId="0" applyNumberFormat="1" applyFont="1" applyFill="1" applyBorder="1" applyAlignment="1" applyProtection="1">
      <alignment vertical="center" wrapText="1"/>
      <protection locked="0"/>
    </xf>
    <xf numFmtId="164" fontId="2" fillId="5" borderId="11" xfId="0" applyNumberFormat="1" applyFont="1" applyFill="1" applyBorder="1" applyAlignment="1" applyProtection="1">
      <alignment wrapText="1"/>
      <protection locked="0"/>
    </xf>
    <xf numFmtId="164" fontId="9" fillId="0" borderId="14" xfId="0" applyNumberFormat="1" applyFont="1" applyFill="1" applyBorder="1" applyAlignment="1" applyProtection="1">
      <alignment wrapText="1"/>
    </xf>
    <xf numFmtId="164" fontId="2" fillId="0" borderId="8" xfId="0" applyNumberFormat="1" applyFont="1" applyFill="1" applyBorder="1" applyAlignment="1" applyProtection="1">
      <alignment wrapText="1"/>
    </xf>
    <xf numFmtId="164" fontId="9" fillId="9" borderId="5" xfId="0" applyNumberFormat="1" applyFont="1" applyFill="1" applyBorder="1" applyAlignment="1" applyProtection="1">
      <alignment wrapText="1"/>
    </xf>
    <xf numFmtId="1" fontId="4" fillId="0" borderId="0" xfId="0" applyNumberFormat="1" applyFont="1" applyAlignment="1" applyProtection="1">
      <alignment horizontal="center" vertical="center" wrapText="1"/>
    </xf>
    <xf numFmtId="0" fontId="3" fillId="0" borderId="0" xfId="0" applyFont="1" applyAlignment="1" applyProtection="1">
      <alignment vertical="center"/>
    </xf>
    <xf numFmtId="0" fontId="5" fillId="0" borderId="0" xfId="0" applyFont="1" applyAlignment="1" applyProtection="1">
      <alignment horizontal="center" vertical="center" wrapText="1"/>
    </xf>
    <xf numFmtId="0" fontId="4" fillId="0" borderId="0" xfId="0" applyFont="1" applyBorder="1" applyAlignment="1">
      <alignment horizontal="center" vertical="center" wrapText="1"/>
    </xf>
    <xf numFmtId="1" fontId="4" fillId="0" borderId="0" xfId="0" applyNumberFormat="1" applyFont="1" applyBorder="1" applyAlignment="1">
      <alignment horizontal="center" vertical="center" wrapText="1"/>
    </xf>
    <xf numFmtId="0" fontId="3" fillId="0" borderId="0" xfId="0" applyFont="1" applyBorder="1" applyAlignment="1">
      <alignment vertical="center"/>
    </xf>
    <xf numFmtId="0" fontId="2" fillId="0" borderId="0" xfId="0" applyFont="1" applyAlignment="1">
      <alignment horizontal="justify" vertical="center" wrapText="1"/>
    </xf>
    <xf numFmtId="0" fontId="9" fillId="0" borderId="29" xfId="0" applyFont="1" applyBorder="1" applyAlignment="1">
      <alignment horizontal="center" vertical="center" wrapText="1"/>
    </xf>
    <xf numFmtId="164" fontId="2" fillId="5" borderId="34" xfId="0" applyNumberFormat="1" applyFont="1" applyFill="1" applyBorder="1" applyAlignment="1" applyProtection="1">
      <alignment horizontal="right" vertical="center" wrapText="1"/>
      <protection locked="0"/>
    </xf>
    <xf numFmtId="164" fontId="2" fillId="7" borderId="35" xfId="0" applyNumberFormat="1" applyFont="1" applyFill="1" applyBorder="1" applyAlignment="1" applyProtection="1">
      <alignment horizontal="right" vertical="center" wrapText="1"/>
      <protection locked="0"/>
    </xf>
    <xf numFmtId="0" fontId="2" fillId="5" borderId="12" xfId="0" applyFont="1" applyFill="1" applyBorder="1" applyAlignment="1" applyProtection="1">
      <alignment horizontal="left" vertical="center"/>
      <protection locked="0"/>
    </xf>
    <xf numFmtId="0" fontId="2" fillId="0" borderId="6" xfId="0" applyFont="1" applyBorder="1" applyAlignment="1">
      <alignment horizontal="left" vertical="center"/>
    </xf>
    <xf numFmtId="0" fontId="2" fillId="0" borderId="9" xfId="0" applyFont="1" applyBorder="1" applyAlignment="1">
      <alignment horizontal="left" vertical="center"/>
    </xf>
    <xf numFmtId="0" fontId="9" fillId="0" borderId="0" xfId="0" applyFont="1"/>
    <xf numFmtId="0" fontId="0" fillId="10" borderId="5" xfId="0" applyFill="1" applyBorder="1"/>
    <xf numFmtId="10" fontId="30" fillId="10" borderId="5" xfId="0" applyNumberFormat="1" applyFont="1" applyFill="1" applyBorder="1"/>
    <xf numFmtId="0" fontId="31" fillId="0" borderId="0" xfId="0" applyFont="1"/>
    <xf numFmtId="0" fontId="32" fillId="0" borderId="0" xfId="0" applyFont="1" applyAlignment="1">
      <alignment horizontal="left" vertical="center" readingOrder="1"/>
    </xf>
    <xf numFmtId="0" fontId="33" fillId="0" borderId="0" xfId="0" applyFont="1" applyAlignment="1">
      <alignment horizontal="left" vertical="center" indent="3" readingOrder="1"/>
    </xf>
    <xf numFmtId="0" fontId="9" fillId="4" borderId="3" xfId="0" applyFont="1" applyFill="1" applyBorder="1" applyAlignment="1">
      <alignment horizontal="left" vertical="center"/>
    </xf>
    <xf numFmtId="0" fontId="35" fillId="8" borderId="36" xfId="0" applyFont="1" applyFill="1" applyBorder="1" applyAlignment="1">
      <alignment vertical="center" wrapText="1"/>
    </xf>
    <xf numFmtId="0" fontId="2" fillId="0" borderId="0" xfId="0" applyFont="1" applyAlignment="1">
      <alignment horizontal="left" vertical="center"/>
    </xf>
    <xf numFmtId="0" fontId="2" fillId="0" borderId="30" xfId="0" applyFont="1" applyBorder="1" applyAlignment="1">
      <alignment horizontal="left" vertical="center"/>
    </xf>
    <xf numFmtId="0" fontId="2" fillId="0" borderId="0" xfId="0" applyFont="1" applyBorder="1" applyAlignment="1">
      <alignment horizontal="left" vertical="center" wrapText="1"/>
    </xf>
    <xf numFmtId="0" fontId="2" fillId="0" borderId="40" xfId="0" applyFont="1" applyBorder="1" applyAlignment="1">
      <alignment horizontal="left" vertical="center" wrapText="1"/>
    </xf>
    <xf numFmtId="164" fontId="2" fillId="0" borderId="20" xfId="0" applyNumberFormat="1" applyFont="1" applyBorder="1" applyAlignment="1">
      <alignment horizontal="right" vertical="center" wrapText="1"/>
    </xf>
    <xf numFmtId="0" fontId="36" fillId="0" borderId="0" xfId="0" applyFont="1" applyBorder="1" applyAlignment="1">
      <alignment horizontal="left" vertical="center"/>
    </xf>
    <xf numFmtId="164" fontId="13" fillId="0" borderId="8" xfId="0" applyNumberFormat="1" applyFont="1" applyBorder="1" applyAlignment="1">
      <alignment horizontal="right" vertical="center" wrapText="1"/>
    </xf>
    <xf numFmtId="164" fontId="13" fillId="0" borderId="11" xfId="0" applyNumberFormat="1" applyFont="1" applyBorder="1" applyAlignment="1">
      <alignment horizontal="right" vertical="center" wrapText="1"/>
    </xf>
    <xf numFmtId="164" fontId="13" fillId="4" borderId="5" xfId="0" applyNumberFormat="1" applyFont="1" applyFill="1" applyBorder="1" applyAlignment="1">
      <alignment horizontal="right" vertical="center" wrapText="1"/>
    </xf>
    <xf numFmtId="0" fontId="33" fillId="0" borderId="0" xfId="0" applyFont="1" applyAlignment="1">
      <alignment vertical="center" readingOrder="1"/>
    </xf>
    <xf numFmtId="0" fontId="33" fillId="0" borderId="0" xfId="0" applyFont="1" applyAlignment="1">
      <alignment horizontal="left" vertical="center" readingOrder="1"/>
    </xf>
    <xf numFmtId="0" fontId="37" fillId="0" borderId="0" xfId="0" applyFont="1" applyAlignment="1">
      <alignment horizontal="center" vertical="center"/>
    </xf>
    <xf numFmtId="0" fontId="35" fillId="11" borderId="0" xfId="0" applyFont="1" applyFill="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17" xfId="0" applyFont="1" applyFill="1" applyBorder="1" applyAlignment="1" applyProtection="1">
      <alignment horizontal="center" vertical="center" wrapText="1"/>
    </xf>
    <xf numFmtId="0" fontId="28" fillId="2" borderId="0" xfId="0" applyFont="1" applyFill="1" applyAlignment="1" applyProtection="1">
      <alignment horizontal="center" vertical="center" wrapText="1"/>
      <protection locked="0"/>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3"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29" fillId="5" borderId="31"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16" fillId="6" borderId="0" xfId="0"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2" fillId="0" borderId="0" xfId="0" applyFont="1" applyAlignment="1">
      <alignment horizontal="left" vertical="center" wrapText="1"/>
    </xf>
    <xf numFmtId="0" fontId="9" fillId="4" borderId="37" xfId="0" applyFont="1" applyFill="1" applyBorder="1" applyAlignment="1" applyProtection="1">
      <alignment horizontal="center" vertical="center" wrapText="1"/>
    </xf>
    <xf numFmtId="0" fontId="9" fillId="4" borderId="38" xfId="0" applyFont="1" applyFill="1" applyBorder="1" applyAlignment="1" applyProtection="1">
      <alignment horizontal="center" vertical="center" wrapText="1"/>
    </xf>
    <xf numFmtId="0" fontId="9" fillId="4" borderId="39" xfId="0" applyFont="1" applyFill="1" applyBorder="1" applyAlignment="1" applyProtection="1">
      <alignment horizontal="center" vertical="center" wrapText="1"/>
    </xf>
    <xf numFmtId="0" fontId="2" fillId="0" borderId="0" xfId="0" applyFont="1" applyAlignment="1">
      <alignment horizontal="center" vertical="center" wrapText="1"/>
    </xf>
    <xf numFmtId="0" fontId="9" fillId="9" borderId="3" xfId="0" applyFont="1" applyFill="1" applyBorder="1" applyAlignment="1" applyProtection="1">
      <alignment horizontal="center" wrapText="1"/>
    </xf>
    <xf numFmtId="0" fontId="9" fillId="9" borderId="4" xfId="0" applyFont="1" applyFill="1" applyBorder="1" applyAlignment="1" applyProtection="1">
      <alignment horizontal="center" wrapText="1"/>
    </xf>
    <xf numFmtId="0" fontId="9" fillId="0" borderId="22"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2" fillId="0" borderId="6"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5" borderId="9" xfId="0" applyFont="1" applyFill="1" applyBorder="1" applyAlignment="1" applyProtection="1">
      <alignment horizontal="center" wrapText="1"/>
      <protection locked="0"/>
    </xf>
    <xf numFmtId="0" fontId="2" fillId="5" borderId="10" xfId="0" applyFont="1" applyFill="1" applyBorder="1" applyAlignment="1" applyProtection="1">
      <alignment horizontal="center" wrapText="1"/>
      <protection locked="0"/>
    </xf>
    <xf numFmtId="0" fontId="9" fillId="0" borderId="12" xfId="0" applyFont="1" applyFill="1" applyBorder="1" applyAlignment="1" applyProtection="1">
      <alignment horizontal="center" wrapText="1"/>
    </xf>
    <xf numFmtId="0" fontId="9" fillId="0" borderId="13" xfId="0" applyFont="1" applyFill="1" applyBorder="1" applyAlignment="1" applyProtection="1">
      <alignment horizontal="center" wrapText="1"/>
    </xf>
    <xf numFmtId="0" fontId="2" fillId="2" borderId="6" xfId="0" applyFont="1" applyFill="1" applyBorder="1" applyAlignment="1" applyProtection="1">
      <alignment horizontal="center" wrapText="1"/>
      <protection locked="0"/>
    </xf>
    <xf numFmtId="0" fontId="2" fillId="2" borderId="7" xfId="0" applyFont="1" applyFill="1" applyBorder="1" applyAlignment="1" applyProtection="1">
      <alignment horizontal="center" wrapText="1"/>
      <protection locked="0"/>
    </xf>
    <xf numFmtId="0" fontId="9" fillId="9" borderId="27" xfId="0" applyFont="1" applyFill="1" applyBorder="1" applyAlignment="1" applyProtection="1">
      <alignment horizontal="center" wrapText="1"/>
    </xf>
    <xf numFmtId="0" fontId="2" fillId="0" borderId="6" xfId="0" applyFont="1" applyFill="1" applyBorder="1" applyAlignment="1" applyProtection="1">
      <alignment horizontal="center" wrapText="1"/>
    </xf>
    <xf numFmtId="0" fontId="2" fillId="0" borderId="7" xfId="0" applyFont="1" applyFill="1" applyBorder="1" applyAlignment="1" applyProtection="1">
      <alignment horizontal="center" wrapText="1"/>
    </xf>
    <xf numFmtId="0" fontId="9" fillId="0" borderId="12" xfId="0" applyFont="1" applyBorder="1" applyAlignment="1" applyProtection="1">
      <alignment horizontal="center" wrapText="1"/>
    </xf>
    <xf numFmtId="0" fontId="9" fillId="0" borderId="13" xfId="0" applyFont="1" applyBorder="1" applyAlignment="1" applyProtection="1">
      <alignment horizontal="center" wrapText="1"/>
    </xf>
    <xf numFmtId="0" fontId="33" fillId="0" borderId="0" xfId="0" applyFont="1" applyAlignment="1">
      <alignment horizontal="left" vertical="center" wrapText="1" readingOrder="1"/>
    </xf>
    <xf numFmtId="0" fontId="33" fillId="0" borderId="0" xfId="0" applyFont="1" applyAlignment="1">
      <alignment horizontal="left" vertical="center" readingOrder="1"/>
    </xf>
  </cellXfs>
  <cellStyles count="4">
    <cellStyle name="Normal" xfId="0" builtinId="0"/>
    <cellStyle name="Normal 2" xfId="2"/>
    <cellStyle name="Normal 3" xfId="3"/>
    <cellStyle name="Pourcentage" xfId="1" builtinId="5"/>
  </cellStyles>
  <dxfs count="43">
    <dxf>
      <font>
        <color theme="0"/>
      </font>
      <fill>
        <patternFill patternType="none">
          <bgColor auto="1"/>
        </patternFill>
      </fill>
      <border>
        <right/>
        <top/>
        <bottom/>
        <vertical/>
        <horizontal/>
      </border>
    </dxf>
    <dxf>
      <font>
        <color theme="0"/>
      </font>
      <fill>
        <patternFill patternType="none">
          <bgColor auto="1"/>
        </patternFill>
      </fill>
    </dxf>
    <dxf>
      <font>
        <color theme="0"/>
      </font>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ill>
        <patternFill patternType="none">
          <bgColor auto="1"/>
        </patternFill>
      </fill>
    </dxf>
    <dxf>
      <font>
        <color theme="0"/>
      </font>
      <fill>
        <patternFill patternType="none">
          <bgColor auto="1"/>
        </patternFill>
      </fill>
      <border>
        <left/>
        <right/>
        <top/>
        <bottom/>
        <vertical/>
        <horizontal/>
      </border>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6</xdr:col>
      <xdr:colOff>1441451</xdr:colOff>
      <xdr:row>0</xdr:row>
      <xdr:rowOff>76200</xdr:rowOff>
    </xdr:from>
    <xdr:to>
      <xdr:col>7</xdr:col>
      <xdr:colOff>1345538</xdr:colOff>
      <xdr:row>0</xdr:row>
      <xdr:rowOff>1250950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93301" y="76200"/>
          <a:ext cx="1402687" cy="1174750"/>
        </a:xfrm>
        <a:prstGeom prst="rect">
          <a:avLst/>
        </a:prstGeom>
      </xdr:spPr>
    </xdr:pic>
    <xdr:clientData/>
  </xdr:twoCellAnchor>
  <xdr:twoCellAnchor editAs="oneCell">
    <xdr:from>
      <xdr:col>5</xdr:col>
      <xdr:colOff>283351</xdr:colOff>
      <xdr:row>0</xdr:row>
      <xdr:rowOff>49396</xdr:rowOff>
    </xdr:from>
    <xdr:to>
      <xdr:col>5</xdr:col>
      <xdr:colOff>1320800</xdr:colOff>
      <xdr:row>0</xdr:row>
      <xdr:rowOff>1285264</xdr:rowOff>
    </xdr:to>
    <xdr:pic>
      <xdr:nvPicPr>
        <xdr:cNvPr id="3" name="Imag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46051" y="49396"/>
          <a:ext cx="1037449" cy="1235868"/>
        </a:xfrm>
        <a:prstGeom prst="rect">
          <a:avLst/>
        </a:prstGeom>
      </xdr:spPr>
    </xdr:pic>
    <xdr:clientData/>
  </xdr:twoCellAnchor>
  <xdr:twoCellAnchor editAs="oneCell">
    <xdr:from>
      <xdr:col>5</xdr:col>
      <xdr:colOff>1893850</xdr:colOff>
      <xdr:row>0</xdr:row>
      <xdr:rowOff>63336</xdr:rowOff>
    </xdr:from>
    <xdr:to>
      <xdr:col>6</xdr:col>
      <xdr:colOff>886432</xdr:colOff>
      <xdr:row>0</xdr:row>
      <xdr:rowOff>1231900</xdr:rowOff>
    </xdr:to>
    <xdr:pic>
      <xdr:nvPicPr>
        <xdr:cNvPr id="4" name="Imag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56550" y="63336"/>
          <a:ext cx="1329382" cy="1168564"/>
        </a:xfrm>
        <a:prstGeom prst="rect">
          <a:avLst/>
        </a:prstGeom>
      </xdr:spPr>
    </xdr:pic>
    <xdr:clientData/>
  </xdr:twoCellAnchor>
  <xdr:twoCellAnchor editAs="oneCell">
    <xdr:from>
      <xdr:col>14</xdr:col>
      <xdr:colOff>38100</xdr:colOff>
      <xdr:row>9</xdr:row>
      <xdr:rowOff>31750</xdr:rowOff>
    </xdr:from>
    <xdr:to>
      <xdr:col>17</xdr:col>
      <xdr:colOff>796018</xdr:colOff>
      <xdr:row>15</xdr:row>
      <xdr:rowOff>2326</xdr:rowOff>
    </xdr:to>
    <xdr:pic>
      <xdr:nvPicPr>
        <xdr:cNvPr id="5" name="Image 4"/>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734800" y="3295650"/>
          <a:ext cx="3856718" cy="77067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20CONTRATS/1-Dossiers/en%2021/21NOD0029%20-%20PLASTIREVE/contrat,%20dde%20aide,%20ar/21NOD0029-AF%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s"/>
      <sheetName val="AF"/>
      <sheetName val="Notice "/>
      <sheetName val="ERD"/>
      <sheetName val="Synthèse"/>
    </sheetNames>
    <sheetDataSet>
      <sheetData sheetId="0">
        <row r="2">
          <cell r="A2" t="str">
            <v>Oui</v>
          </cell>
        </row>
        <row r="3">
          <cell r="A3" t="str">
            <v>Non</v>
          </cell>
          <cell r="E3" t="str">
            <v>Petite</v>
          </cell>
          <cell r="F3" t="str">
            <v>Moyenne</v>
          </cell>
          <cell r="G3" t="str">
            <v>Grande</v>
          </cell>
        </row>
        <row r="4">
          <cell r="E4">
            <v>0.7</v>
          </cell>
          <cell r="F4">
            <v>0.6</v>
          </cell>
          <cell r="G4">
            <v>0.5</v>
          </cell>
          <cell r="H4">
            <v>0.7</v>
          </cell>
        </row>
        <row r="7">
          <cell r="A7" t="str">
            <v>Métropole</v>
          </cell>
        </row>
        <row r="8">
          <cell r="A8" t="str">
            <v>Zone A.F.R.</v>
          </cell>
        </row>
        <row r="9">
          <cell r="A9" t="str">
            <v>Corse</v>
          </cell>
        </row>
        <row r="10">
          <cell r="A10" t="str">
            <v>DROM-COM</v>
          </cell>
        </row>
        <row r="11">
          <cell r="A11" t="str">
            <v>International</v>
          </cell>
        </row>
        <row r="14">
          <cell r="A14" t="str">
            <v>Economique</v>
          </cell>
        </row>
        <row r="15">
          <cell r="A15" t="str">
            <v>Non économique</v>
          </cell>
        </row>
        <row r="18">
          <cell r="D18" t="str">
            <v>Etude générale</v>
          </cell>
          <cell r="E18">
            <v>0.7</v>
          </cell>
          <cell r="F18">
            <v>0.7</v>
          </cell>
          <cell r="G18">
            <v>0.7</v>
          </cell>
          <cell r="H18">
            <v>0.7</v>
          </cell>
        </row>
        <row r="19">
          <cell r="A19" t="str">
            <v>Petite</v>
          </cell>
          <cell r="D19" t="str">
            <v>Recherche fondamentale</v>
          </cell>
          <cell r="E19"/>
          <cell r="F19"/>
          <cell r="G19"/>
          <cell r="H19">
            <v>0.7</v>
          </cell>
        </row>
        <row r="20">
          <cell r="A20" t="str">
            <v>Moyenne</v>
          </cell>
          <cell r="D20" t="str">
            <v>Recherche industrielle</v>
          </cell>
          <cell r="E20">
            <v>0.7</v>
          </cell>
          <cell r="F20">
            <v>0.6</v>
          </cell>
          <cell r="G20">
            <v>0.5</v>
          </cell>
          <cell r="H20">
            <v>0.7</v>
          </cell>
        </row>
        <row r="21">
          <cell r="A21" t="str">
            <v>Grande</v>
          </cell>
          <cell r="D21" t="str">
            <v>Développement expérimental</v>
          </cell>
          <cell r="E21">
            <v>0.45</v>
          </cell>
          <cell r="F21">
            <v>0.35</v>
          </cell>
          <cell r="G21">
            <v>0.25</v>
          </cell>
          <cell r="H21">
            <v>0.5</v>
          </cell>
        </row>
        <row r="22">
          <cell r="D22" t="str">
            <v>Innovation en faveur des PME</v>
          </cell>
          <cell r="E22">
            <v>0.5</v>
          </cell>
          <cell r="F22">
            <v>0.5</v>
          </cell>
          <cell r="G22"/>
          <cell r="H22"/>
        </row>
        <row r="25">
          <cell r="A25" t="str">
            <v>Déchets : Eco-conception / prévention</v>
          </cell>
        </row>
        <row r="26">
          <cell r="A26" t="str">
            <v>Air</v>
          </cell>
          <cell r="E26" t="str">
            <v>Petite</v>
          </cell>
          <cell r="F26" t="str">
            <v>Moyenne</v>
          </cell>
          <cell r="G26" t="str">
            <v>Grande</v>
          </cell>
        </row>
        <row r="27">
          <cell r="A27" t="str">
            <v>Transports</v>
          </cell>
          <cell r="E27">
            <v>0.7</v>
          </cell>
          <cell r="F27">
            <v>0.6</v>
          </cell>
          <cell r="G27">
            <v>0.5</v>
          </cell>
          <cell r="H27">
            <v>1</v>
          </cell>
        </row>
        <row r="28">
          <cell r="A28" t="str">
            <v>Mise en sécurité des sites pollués</v>
          </cell>
        </row>
        <row r="29">
          <cell r="A29" t="str">
            <v>Travaux de dépollution des sites pollués</v>
          </cell>
        </row>
        <row r="30">
          <cell r="A30" t="str">
            <v>EnR</v>
          </cell>
        </row>
        <row r="31">
          <cell r="A31" t="str">
            <v>Réseaux de chaleur et froid</v>
          </cell>
        </row>
        <row r="32">
          <cell r="A32" t="str">
            <v>Économie d'énergie</v>
          </cell>
        </row>
        <row r="35">
          <cell r="A35" t="str">
            <v>Etude générale</v>
          </cell>
        </row>
        <row r="36">
          <cell r="A36" t="str">
            <v>Recherche fondamentale</v>
          </cell>
        </row>
        <row r="37">
          <cell r="A37" t="str">
            <v>Recherche industrielle</v>
          </cell>
        </row>
        <row r="38">
          <cell r="A38" t="str">
            <v>Développement expérimental</v>
          </cell>
        </row>
        <row r="39">
          <cell r="A39" t="str">
            <v>Innovation en faveur des PME</v>
          </cell>
        </row>
        <row r="41">
          <cell r="D41" t="str">
            <v>Etude générale</v>
          </cell>
          <cell r="E41">
            <v>0.7</v>
          </cell>
          <cell r="F41">
            <v>0.7</v>
          </cell>
          <cell r="G41">
            <v>0.7</v>
          </cell>
          <cell r="H41">
            <v>1</v>
          </cell>
        </row>
        <row r="42">
          <cell r="A42" t="str">
            <v>Amélioration d'une ligne existante</v>
          </cell>
          <cell r="D42" t="str">
            <v>Recherche fondamentale</v>
          </cell>
          <cell r="E42"/>
          <cell r="F42"/>
          <cell r="G42"/>
          <cell r="H42">
            <v>1</v>
          </cell>
        </row>
        <row r="43">
          <cell r="A43" t="str">
            <v>Création d'une nouvelle ligne</v>
          </cell>
          <cell r="D43" t="str">
            <v>Recherche industrielle</v>
          </cell>
          <cell r="E43">
            <v>0.7</v>
          </cell>
          <cell r="F43">
            <v>0.6</v>
          </cell>
          <cell r="G43">
            <v>0.5</v>
          </cell>
          <cell r="H43">
            <v>1</v>
          </cell>
        </row>
        <row r="44">
          <cell r="A44" t="str">
            <v>Amélioration d'une ligne existante &amp; création d'une nouvelle ligne</v>
          </cell>
          <cell r="D44" t="str">
            <v>Développement expérimental</v>
          </cell>
          <cell r="E44">
            <v>0.45</v>
          </cell>
          <cell r="F44">
            <v>0.35</v>
          </cell>
          <cell r="G44">
            <v>0.25</v>
          </cell>
          <cell r="H44">
            <v>1</v>
          </cell>
        </row>
        <row r="45">
          <cell r="D45" t="str">
            <v>Innovation en faveur des PME</v>
          </cell>
          <cell r="E45">
            <v>0.5</v>
          </cell>
          <cell r="F45">
            <v>0.5</v>
          </cell>
          <cell r="G45"/>
          <cell r="H45"/>
        </row>
        <row r="48">
          <cell r="A48" t="str">
            <v>Charges connexes forfaitaires sur dépenses éligibles :</v>
          </cell>
        </row>
        <row r="51">
          <cell r="A51" t="str">
            <v>Diagnostic</v>
          </cell>
        </row>
        <row r="52">
          <cell r="A52" t="str">
            <v>Accompagnement de projet</v>
          </cell>
        </row>
        <row r="53">
          <cell r="A53" t="str">
            <v>Diagnostic et accompagnement de projet</v>
          </cell>
        </row>
        <row r="60">
          <cell r="A60" t="str">
            <v>A notification</v>
          </cell>
        </row>
        <row r="61">
          <cell r="A61" t="str">
            <v>Sur ordre de service</v>
          </cell>
        </row>
        <row r="64">
          <cell r="A64" t="str">
            <v>Non</v>
          </cell>
        </row>
        <row r="65">
          <cell r="A65" t="str">
            <v>Avenant 1</v>
          </cell>
        </row>
        <row r="66">
          <cell r="A66" t="str">
            <v>Avenant 2</v>
          </cell>
        </row>
        <row r="67">
          <cell r="A67" t="str">
            <v>Avenant 3</v>
          </cell>
        </row>
        <row r="68">
          <cell r="A68" t="str">
            <v>Avenant 4</v>
          </cell>
        </row>
        <row r="69">
          <cell r="A69" t="str">
            <v>Avenant 5</v>
          </cell>
        </row>
        <row r="70">
          <cell r="A70" t="str">
            <v>Avenant 6</v>
          </cell>
        </row>
        <row r="71">
          <cell r="A71" t="str">
            <v>Avenant 7</v>
          </cell>
        </row>
        <row r="72">
          <cell r="A72" t="str">
            <v>Avenant 8</v>
          </cell>
        </row>
        <row r="75">
          <cell r="A75" t="str">
            <v>Nombre de jours</v>
          </cell>
        </row>
        <row r="76">
          <cell r="A76" t="str">
            <v>Nombre de mois</v>
          </cell>
        </row>
        <row r="77">
          <cell r="A77" t="str">
            <v>Nombre d'ETPT</v>
          </cell>
        </row>
        <row r="80">
          <cell r="A80">
            <v>50000</v>
          </cell>
        </row>
        <row r="81">
          <cell r="A81">
            <v>100000</v>
          </cell>
        </row>
        <row r="84">
          <cell r="A84" t="str">
            <v>Dissocier</v>
          </cell>
        </row>
        <row r="85">
          <cell r="A85" t="str">
            <v>Regrouper</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R331"/>
  <sheetViews>
    <sheetView tabSelected="1" workbookViewId="0">
      <selection activeCell="B3" sqref="B3"/>
    </sheetView>
  </sheetViews>
  <sheetFormatPr baseColWidth="10" defaultColWidth="11.453125" defaultRowHeight="18" customHeight="1" x14ac:dyDescent="0.35"/>
  <cols>
    <col min="1" max="1" width="1.453125" style="9" customWidth="1"/>
    <col min="2" max="2" width="25.26953125" style="3" customWidth="1"/>
    <col min="3" max="5" width="21.453125" style="3" customWidth="1"/>
    <col min="6" max="6" width="33.453125" style="3" bestFit="1" customWidth="1"/>
    <col min="7" max="8" width="21.453125" style="3" customWidth="1"/>
    <col min="9" max="9" width="20" hidden="1" customWidth="1"/>
    <col min="10" max="10" width="15.54296875" hidden="1" customWidth="1"/>
    <col min="11" max="11" width="15.26953125" style="4" hidden="1" customWidth="1"/>
    <col min="12" max="12" width="15.26953125" style="5" hidden="1" customWidth="1"/>
    <col min="13" max="13" width="3.453125" style="6" hidden="1" customWidth="1"/>
    <col min="14" max="14" width="2.1796875" style="7" hidden="1" customWidth="1"/>
    <col min="15" max="15" width="21.453125" style="2" customWidth="1"/>
    <col min="16" max="16384" width="11.453125" style="9"/>
  </cols>
  <sheetData>
    <row r="1" spans="1:18" ht="103" customHeight="1" x14ac:dyDescent="0.35">
      <c r="A1" s="175" t="s">
        <v>135</v>
      </c>
      <c r="B1" s="175"/>
      <c r="C1" s="175"/>
      <c r="D1" s="175"/>
      <c r="E1" s="175"/>
      <c r="F1" s="162"/>
      <c r="G1" s="162"/>
      <c r="H1" s="162"/>
      <c r="I1" s="7" t="e">
        <f>SUBTOTAL(9,$N$4:$N$245)</f>
        <v>#REF!</v>
      </c>
      <c r="J1" s="8"/>
      <c r="K1" s="9"/>
      <c r="L1" s="9"/>
      <c r="M1" s="9"/>
      <c r="N1" s="9"/>
      <c r="O1" s="9"/>
    </row>
    <row r="2" spans="1:18" ht="18" customHeight="1" x14ac:dyDescent="0.35">
      <c r="B2" s="10" t="s">
        <v>0</v>
      </c>
      <c r="C2" s="11"/>
      <c r="D2" s="11"/>
      <c r="E2" s="11"/>
      <c r="F2" s="11"/>
      <c r="G2" s="11"/>
      <c r="H2" s="11"/>
      <c r="K2" s="5" t="s">
        <v>1</v>
      </c>
      <c r="N2" s="12"/>
    </row>
    <row r="3" spans="1:18" ht="18" customHeight="1" x14ac:dyDescent="0.35">
      <c r="N3" s="12"/>
    </row>
    <row r="4" spans="1:18" ht="28" x14ac:dyDescent="0.35">
      <c r="B4" s="183" t="s">
        <v>2</v>
      </c>
      <c r="C4" s="184"/>
      <c r="D4" s="13" t="s">
        <v>3</v>
      </c>
      <c r="E4" s="13" t="s">
        <v>2</v>
      </c>
      <c r="F4" s="13" t="s">
        <v>4</v>
      </c>
      <c r="G4" s="13" t="s">
        <v>5</v>
      </c>
      <c r="H4" s="13" t="s">
        <v>111</v>
      </c>
      <c r="K4" s="14"/>
      <c r="L4" s="15" t="e">
        <f>"Aide ADEME"&amp;IF(OR(AND(ch_connaissance=ch_oui,#REF!=ch_oui,#REF!=ch_oui),AND(ch_chg=ch_oui,#REF!=ch_oui,#REF!=ch_oui))," TTC","")</f>
        <v>#REF!</v>
      </c>
      <c r="N4" s="12"/>
    </row>
    <row r="5" spans="1:18" ht="18" customHeight="1" x14ac:dyDescent="0.35">
      <c r="B5" s="179" t="s">
        <v>94</v>
      </c>
      <c r="C5" s="180"/>
      <c r="D5" s="17" t="s">
        <v>7</v>
      </c>
      <c r="E5" s="18">
        <f>G88</f>
        <v>0</v>
      </c>
      <c r="F5" s="18">
        <f>H88</f>
        <v>0</v>
      </c>
      <c r="G5" s="18">
        <f>F5</f>
        <v>0</v>
      </c>
      <c r="H5" s="19">
        <f>IF(C12="Non-économique",'Listes (masqué)'!$K$8*H88,IF(AND(C12="Economique",F12="Grande"),('Listes (masqué)'!$J$8*H88),IF(AND(C12="Economique",F12="Moyenne"),('Listes (masqué)'!$I$8*H88),IF(AND(C12="Economique",F12="Petite"),('Listes (masqué)'!$H$8*H88)))))</f>
        <v>0</v>
      </c>
      <c r="K5" s="16"/>
      <c r="L5" s="20">
        <f>H5</f>
        <v>0</v>
      </c>
      <c r="N5" s="12"/>
    </row>
    <row r="6" spans="1:18" ht="18" customHeight="1" x14ac:dyDescent="0.35">
      <c r="B6" s="179" t="s">
        <v>8</v>
      </c>
      <c r="C6" s="180"/>
      <c r="D6" s="113" t="s">
        <v>6</v>
      </c>
      <c r="E6" s="18">
        <f>G89</f>
        <v>0</v>
      </c>
      <c r="F6" s="18">
        <f>H89</f>
        <v>0</v>
      </c>
      <c r="G6" s="18">
        <f>F6</f>
        <v>0</v>
      </c>
      <c r="H6" s="19">
        <f>IF(C12="Non-économique",('Listes (masqué)'!$K$9*H89),IF(AND(C12="Economique",F12="Grande"),('Listes (masqué)'!$J$9*H89),IF(AND(C12="Economique",F12="Moyenne"),('Listes (masqué)'!$I$9*H89),IF(AND(C12="Economique",F12="Petite"),('Listes (masqué)'!$H$9*H89)))))</f>
        <v>0</v>
      </c>
      <c r="K6" s="16"/>
      <c r="L6" s="20">
        <f>H6</f>
        <v>0</v>
      </c>
      <c r="N6" s="12">
        <f>IF(O6="",0,1)</f>
        <v>0</v>
      </c>
    </row>
    <row r="7" spans="1:18" ht="18" customHeight="1" x14ac:dyDescent="0.35">
      <c r="B7" s="181" t="s">
        <v>9</v>
      </c>
      <c r="C7" s="182"/>
      <c r="D7" s="23"/>
      <c r="E7" s="24">
        <f>SUM(E5:E6)</f>
        <v>0</v>
      </c>
      <c r="F7" s="24">
        <f>SUM(F5:F6)</f>
        <v>0</v>
      </c>
      <c r="G7" s="24">
        <f>SUM(G5:G6)</f>
        <v>0</v>
      </c>
      <c r="H7" s="25">
        <f>SUM(H5:H6)</f>
        <v>0</v>
      </c>
      <c r="K7" s="26"/>
      <c r="L7" s="27" t="e">
        <f>IF(ch_connaissance=ch_oui,#REF!+IF(ch_nb_lots_connaissance=2,#REF!,IF(ch_nb_lots_connaissance=3,#REF!+#REF!,0)),0)+IF(ch_decision=ch_oui,IF(OR(ch_type_decision=ch_diag,ch_type_decision=ch_diag_acc_projet),L5,0)+IF(OR(ch_type_decision=ch_acc_projet,ch_type_decision=ch_diag_acc_projet),#REF!,0),0)+IF(ch_inv=ch_oui,L6,0)+IF(ch_chg=ch_oui,#REF!,0)</f>
        <v>#REF!</v>
      </c>
      <c r="N7" s="12"/>
    </row>
    <row r="8" spans="1:18" ht="18" customHeight="1" x14ac:dyDescent="0.35">
      <c r="E8" s="28"/>
      <c r="F8" s="28"/>
      <c r="G8" s="28"/>
      <c r="H8" s="28"/>
      <c r="K8" s="16"/>
      <c r="L8" s="29"/>
      <c r="N8" s="30"/>
    </row>
    <row r="9" spans="1:18" ht="18" customHeight="1" x14ac:dyDescent="0.35">
      <c r="B9" s="10" t="s">
        <v>10</v>
      </c>
      <c r="C9" s="11"/>
      <c r="D9" s="11"/>
      <c r="E9" s="11"/>
      <c r="F9" s="11"/>
      <c r="G9" s="11"/>
      <c r="H9" s="11"/>
      <c r="K9" s="31"/>
      <c r="L9" s="29"/>
      <c r="N9" s="30"/>
      <c r="O9" s="174" t="s">
        <v>133</v>
      </c>
      <c r="P9" s="174"/>
      <c r="Q9" s="174"/>
      <c r="R9" s="174"/>
    </row>
    <row r="10" spans="1:18" ht="12.5" customHeight="1" x14ac:dyDescent="0.35">
      <c r="L10" s="29"/>
      <c r="N10" s="30"/>
    </row>
    <row r="11" spans="1:18" ht="4" hidden="1" customHeight="1" x14ac:dyDescent="0.35">
      <c r="B11" s="3" t="s">
        <v>93</v>
      </c>
      <c r="C11" s="32"/>
      <c r="E11" s="3" t="s">
        <v>11</v>
      </c>
      <c r="F11" s="32" t="s">
        <v>12</v>
      </c>
      <c r="G11" s="33" t="s">
        <v>13</v>
      </c>
      <c r="H11" s="1"/>
      <c r="L11" s="29"/>
      <c r="N11" s="12" t="e">
        <f>IF(O11="",0,1)</f>
        <v>#REF!</v>
      </c>
      <c r="O11" s="2" t="e">
        <f>IF(ch_num_contrat="","Veuillez indiquer le numéro du contrat",IF(OR(LEN(ch_num_contrat)&lt;&gt;9,RIGHT(ch_num_contrat,4)="0000"),"Veuillez saisir un numéro de contrat valide",""))</f>
        <v>#REF!</v>
      </c>
    </row>
    <row r="12" spans="1:18" s="37" customFormat="1" ht="18" customHeight="1" x14ac:dyDescent="0.35">
      <c r="B12" s="34" t="s">
        <v>14</v>
      </c>
      <c r="C12" s="35" t="s">
        <v>15</v>
      </c>
      <c r="D12" s="36"/>
      <c r="E12" s="34" t="s">
        <v>16</v>
      </c>
      <c r="F12" s="35" t="s">
        <v>17</v>
      </c>
      <c r="G12" s="185" t="s">
        <v>134</v>
      </c>
      <c r="H12" s="186"/>
      <c r="J12" s="38"/>
      <c r="K12" s="39"/>
      <c r="L12" s="40"/>
      <c r="M12" s="41">
        <f>IF(N12="",0,1)</f>
        <v>0</v>
      </c>
      <c r="N12" s="2"/>
    </row>
    <row r="13" spans="1:18" ht="14.5" customHeight="1" x14ac:dyDescent="0.35">
      <c r="B13" s="3" t="s">
        <v>18</v>
      </c>
      <c r="C13" s="32" t="s">
        <v>19</v>
      </c>
      <c r="D13" s="42"/>
      <c r="E13" s="3" t="s">
        <v>20</v>
      </c>
      <c r="F13" s="35" t="s">
        <v>21</v>
      </c>
      <c r="G13" s="9"/>
      <c r="L13" s="29"/>
      <c r="N13" s="12">
        <f>IF(O13="",0,1)</f>
        <v>0</v>
      </c>
    </row>
    <row r="14" spans="1:18" ht="18" hidden="1" customHeight="1" x14ac:dyDescent="0.35">
      <c r="B14" s="3" t="s">
        <v>22</v>
      </c>
      <c r="C14" s="43"/>
      <c r="E14" s="3" t="s">
        <v>23</v>
      </c>
      <c r="F14" s="35"/>
      <c r="G14" s="3" t="s">
        <v>24</v>
      </c>
      <c r="H14" s="35">
        <v>1</v>
      </c>
      <c r="K14" s="44">
        <v>44196</v>
      </c>
      <c r="L14" s="29"/>
      <c r="N14" s="12">
        <f>IF(O14="",0,1)</f>
        <v>0</v>
      </c>
    </row>
    <row r="15" spans="1:18" ht="18" customHeight="1" x14ac:dyDescent="0.35">
      <c r="L15" s="29"/>
      <c r="N15" s="30"/>
    </row>
    <row r="16" spans="1:18" ht="18" customHeight="1" x14ac:dyDescent="0.35">
      <c r="B16" s="10" t="s">
        <v>25</v>
      </c>
      <c r="C16" s="11"/>
      <c r="D16" s="11"/>
      <c r="E16" s="11"/>
      <c r="F16" s="11"/>
      <c r="G16" s="11"/>
      <c r="H16" s="11"/>
      <c r="K16" s="44" t="e">
        <f>IF(ch_connaissance=ch_oui,1,0)+IF(ch_decision=ch_oui,1,0)+IF(ch_inv=ch_oui,1,0)+IF(ch_chg=ch_oui,1,0)</f>
        <v>#REF!</v>
      </c>
      <c r="L16" s="29"/>
      <c r="N16" s="12">
        <f>IF(O16="",0,1)</f>
        <v>0</v>
      </c>
    </row>
    <row r="17" spans="2:15" ht="18" customHeight="1" x14ac:dyDescent="0.35">
      <c r="N17" s="12"/>
    </row>
    <row r="18" spans="2:15" ht="18" customHeight="1" x14ac:dyDescent="0.3">
      <c r="B18" s="45" t="s">
        <v>105</v>
      </c>
      <c r="C18" s="47"/>
      <c r="D18" s="46" t="s">
        <v>26</v>
      </c>
      <c r="F18" s="155" t="s">
        <v>113</v>
      </c>
      <c r="G18" s="52"/>
      <c r="H18" s="49"/>
      <c r="I18" s="29"/>
      <c r="J18" s="6"/>
      <c r="K18" s="12" t="e">
        <f>IF(L18="",0,1)</f>
        <v>#REF!</v>
      </c>
      <c r="L18" s="2" t="e">
        <f>IF(AND(ch_decision=ch_oui,ch_type_decision=""),"Veuillez sélectionner le type d'étude","")</f>
        <v>#REF!</v>
      </c>
      <c r="M18" s="9"/>
      <c r="N18" s="9"/>
      <c r="O18" s="9"/>
    </row>
    <row r="19" spans="2:15" ht="18" customHeight="1" x14ac:dyDescent="0.35">
      <c r="B19" s="34"/>
      <c r="L19" s="29"/>
      <c r="N19" s="30"/>
    </row>
    <row r="20" spans="2:15" s="50" customFormat="1" ht="18" customHeight="1" x14ac:dyDescent="0.35">
      <c r="B20" s="45" t="s">
        <v>90</v>
      </c>
      <c r="C20" s="47"/>
      <c r="D20" s="46" t="s">
        <v>26</v>
      </c>
      <c r="E20" s="47"/>
      <c r="F20" s="163" t="s">
        <v>27</v>
      </c>
      <c r="G20" s="176" t="s">
        <v>28</v>
      </c>
      <c r="H20" s="177"/>
      <c r="K20" s="49"/>
      <c r="L20" s="51"/>
      <c r="M20" s="6"/>
      <c r="N20" s="12">
        <f>IF(O20="",0,1)</f>
        <v>0</v>
      </c>
      <c r="O20" s="2"/>
    </row>
    <row r="21" spans="2:15" s="50" customFormat="1" ht="18" customHeight="1" x14ac:dyDescent="0.35">
      <c r="B21" s="34" t="s">
        <v>29</v>
      </c>
      <c r="C21" s="178"/>
      <c r="D21" s="178"/>
      <c r="E21" s="178"/>
      <c r="F21" s="163" t="s">
        <v>30</v>
      </c>
      <c r="G21" s="52"/>
      <c r="K21" s="48"/>
      <c r="L21" s="29"/>
      <c r="M21" s="6"/>
      <c r="N21" s="12">
        <f>IF(O21="",0,1)</f>
        <v>0</v>
      </c>
      <c r="O21" s="2"/>
    </row>
    <row r="22" spans="2:15" ht="18" customHeight="1" x14ac:dyDescent="0.35">
      <c r="B22" s="34"/>
      <c r="C22" s="9"/>
      <c r="D22" s="9"/>
      <c r="E22" s="9"/>
      <c r="L22" s="29"/>
      <c r="N22" s="30"/>
    </row>
    <row r="23" spans="2:15" ht="18" hidden="1" customHeight="1" x14ac:dyDescent="0.35">
      <c r="B23" s="10" t="s">
        <v>31</v>
      </c>
      <c r="C23" s="11"/>
      <c r="D23" s="11"/>
      <c r="E23" s="11"/>
      <c r="F23" s="11"/>
      <c r="G23" s="11"/>
      <c r="H23" s="11"/>
      <c r="K23" s="31"/>
      <c r="L23" s="29"/>
      <c r="N23" s="30"/>
      <c r="O23" s="53" t="s">
        <v>32</v>
      </c>
    </row>
    <row r="24" spans="2:15" s="3" customFormat="1" ht="18" hidden="1" customHeight="1" x14ac:dyDescent="0.35">
      <c r="L24" s="29"/>
      <c r="M24" s="6"/>
      <c r="N24" s="30"/>
      <c r="O24" s="2"/>
    </row>
    <row r="25" spans="2:15" s="3" customFormat="1" ht="18" hidden="1" customHeight="1" x14ac:dyDescent="0.35">
      <c r="B25" s="34" t="s">
        <v>33</v>
      </c>
      <c r="F25" s="54" t="s">
        <v>34</v>
      </c>
      <c r="L25" s="29"/>
      <c r="M25" s="6"/>
      <c r="N25" s="30"/>
      <c r="O25" s="2"/>
    </row>
    <row r="26" spans="2:15" s="3" customFormat="1" ht="18" hidden="1" customHeight="1" x14ac:dyDescent="0.35">
      <c r="L26" s="29"/>
      <c r="M26" s="6"/>
      <c r="N26" s="30"/>
      <c r="O26" s="2"/>
    </row>
    <row r="27" spans="2:15" s="3" customFormat="1" ht="18" hidden="1" customHeight="1" x14ac:dyDescent="0.35">
      <c r="B27" s="55"/>
      <c r="C27" s="23" t="s">
        <v>35</v>
      </c>
      <c r="D27" s="23" t="s">
        <v>36</v>
      </c>
      <c r="E27" s="23" t="s">
        <v>37</v>
      </c>
      <c r="F27" s="23" t="s">
        <v>38</v>
      </c>
      <c r="G27" s="23" t="s">
        <v>39</v>
      </c>
      <c r="H27" s="23" t="s">
        <v>40</v>
      </c>
      <c r="K27" s="49" t="s">
        <v>41</v>
      </c>
      <c r="L27" s="56" t="s">
        <v>42</v>
      </c>
      <c r="M27" s="6"/>
      <c r="N27" s="30"/>
      <c r="O27" s="57" t="s">
        <v>43</v>
      </c>
    </row>
    <row r="28" spans="2:15" s="3" customFormat="1" ht="18" hidden="1" customHeight="1" x14ac:dyDescent="0.35">
      <c r="B28" s="58" t="s">
        <v>44</v>
      </c>
      <c r="C28" s="59">
        <v>0</v>
      </c>
      <c r="D28" s="60" t="e">
        <f>IF(AND(OR($F$13="Association",$F$13="Secteur privé"),ch_ej_prev=2020),20%,0%)</f>
        <v>#REF!</v>
      </c>
      <c r="E28" s="60" t="e">
        <f>IF(nb_vers_connaissance=3,IF(AND(K28="début",ch_avance_connaissance&gt;0),40%,IF(ch_avance_connaissance&gt;0,20%,25%)),IF(nb_vers_connaissance=2,IF(AND(K28="début",ch_avance_connaissance&gt;0),40%,30%),IF(nb_vers_connaissance=1,50%,0%)))</f>
        <v>#REF!</v>
      </c>
      <c r="F28" s="60" t="e">
        <f>IF(nb_vers_connaissance=3,IF(AND(K28="début",ch_avance_connaissance&gt;0),20%,IF(ch_avance_connaissance&gt;0,20%,25%)),IF(nb_vers_connaissance=2,IF(AND(K28="début",ch_avance_connaissance&gt;0),40%,30%),IF(nb_vers_connaissance=1,0%,0%)))</f>
        <v>#REF!</v>
      </c>
      <c r="G28" s="60" t="e">
        <f>IF(nb_vers_connaissance=3,IF(AND(K28="début",ch_avance_connaissance&gt;0),20%,IF(ch_avance_connaissance&gt;0,20%,25%)),0)</f>
        <v>#REF!</v>
      </c>
      <c r="H28" s="21" t="e">
        <f>IF(AND(OR($F$13="Association",$F$13="Secteur privé"),ch_ej_prev=2020),ch_avance_notif,ch_avance_ods)</f>
        <v>#REF!</v>
      </c>
      <c r="K28" s="5" t="e">
        <f>IF(AND(OR($F$13="Association",$F$13="Secteur privé"),ch_ej_prev=2020),"fin","début")</f>
        <v>#REF!</v>
      </c>
      <c r="L28" s="61" t="s">
        <v>26</v>
      </c>
      <c r="M28" s="6"/>
      <c r="N28" s="12"/>
      <c r="O28" s="62" t="s">
        <v>12</v>
      </c>
    </row>
    <row r="29" spans="2:15" s="3" customFormat="1" ht="18" hidden="1" customHeight="1" x14ac:dyDescent="0.35">
      <c r="B29" s="63" t="s">
        <v>45</v>
      </c>
      <c r="C29" s="21">
        <v>0</v>
      </c>
      <c r="D29" s="64" t="e">
        <f>IF(AND(OR($F$13="Association",$F$13="Secteur privé"),ch_ej_prev=2020),20%,0%)</f>
        <v>#REF!</v>
      </c>
      <c r="E29" s="64" t="e">
        <f>IF(nb_vers_decision=3,IF(AND(K29="début",ch_avance_decision&gt;0),40%,IF(ch_avance_decision&gt;0,20%,25%)),IF(nb_vers_decision=2,IF(AND(K29="début",ch_avance_decision&gt;0),40%,30%),IF(nb_vers_decision=1,50%,0%)))</f>
        <v>#REF!</v>
      </c>
      <c r="F29" s="64" t="e">
        <f>IF(nb_vers_decision=3,IF(AND(K29="début",ch_avance_decision&gt;0),20%,IF(ch_avance_decision&gt;0,20%,25%)),IF(nb_vers_decision=2,IF(AND(K29="début",ch_avance_decision&gt;0),40%,30%),IF(nb_vers_decision=1,0%,0%)))</f>
        <v>#REF!</v>
      </c>
      <c r="G29" s="64" t="e">
        <f>IF(nb_vers_decision=3,IF(AND(K29="début",ch_avance_decision&gt;0),20%,IF(ch_avance_decision&gt;0,20%,25%)),0)</f>
        <v>#REF!</v>
      </c>
      <c r="H29" s="21" t="e">
        <f>IF(AND(OR($F$13="Association",$F$13="Secteur privé"),ch_ej_prev=2020),ch_avance_notif,ch_avance_ods)</f>
        <v>#REF!</v>
      </c>
      <c r="K29" s="5" t="e">
        <f>IF(AND(OR($F$13="Association",$F$13="Secteur privé"),ch_ej_prev=2020),"fin","début")</f>
        <v>#REF!</v>
      </c>
      <c r="L29" s="61" t="s">
        <v>26</v>
      </c>
      <c r="M29" s="6"/>
      <c r="N29" s="12"/>
      <c r="O29" s="65" t="s">
        <v>12</v>
      </c>
    </row>
    <row r="30" spans="2:15" s="3" customFormat="1" ht="18" hidden="1" customHeight="1" x14ac:dyDescent="0.35">
      <c r="B30" s="63" t="s">
        <v>46</v>
      </c>
      <c r="C30" s="21">
        <v>1</v>
      </c>
      <c r="D30" s="64" t="e">
        <f>IF(AND(OR($F$13="Association",$F$13="Secteur privé"),ch_ej_prev=2020),20%,0%)</f>
        <v>#REF!</v>
      </c>
      <c r="E30" s="64" t="e">
        <f>IF(nb_vers_inv=3,IF(AND(K30="début",ch_avance_inv&gt;0),40%,IF(ch_avance_inv&gt;0,20%,25%)),IF(nb_vers_inv=2,IF(AND(K30="début",ch_avance_inv&gt;0),40%,30%),IF(nb_vers_inv=1,50%,0%)))</f>
        <v>#REF!</v>
      </c>
      <c r="F30" s="64" t="e">
        <f>IF(nb_vers_inv=3,IF(AND(K30="début",ch_avance_inv&gt;0),20%,IF(ch_avance_inv&gt;0,20%,25%)),IF(nb_vers_inv=2,IF(AND(K30="début",ch_avance_inv&gt;0),40%,30%),IF(nb_vers_inv=1,0%,0%)))</f>
        <v>#REF!</v>
      </c>
      <c r="G30" s="64" t="e">
        <f>IF(nb_vers_inv=3,IF(AND(K30="début",ch_avance_inv&gt;0),20%,IF(ch_avance_inv&gt;0,20%,25%)),0)</f>
        <v>#REF!</v>
      </c>
      <c r="H30" s="21" t="e">
        <f>IF(AND(OR($F$13="Association",$F$13="Secteur privé"),ch_ej_prev=2020),ch_avance_notif,ch_avance_ods)</f>
        <v>#REF!</v>
      </c>
      <c r="K30" s="5" t="e">
        <f>IF(AND(OR($F$13="Association",$F$13="Secteur privé"),ch_ej_prev=2020),"fin","début")</f>
        <v>#REF!</v>
      </c>
      <c r="L30" s="61" t="s">
        <v>26</v>
      </c>
      <c r="M30" s="6"/>
      <c r="N30" s="12"/>
      <c r="O30" s="65" t="s">
        <v>12</v>
      </c>
    </row>
    <row r="31" spans="2:15" s="3" customFormat="1" ht="18" hidden="1" customHeight="1" x14ac:dyDescent="0.35">
      <c r="B31" s="66" t="s">
        <v>47</v>
      </c>
      <c r="C31" s="21">
        <v>0</v>
      </c>
      <c r="D31" s="64" t="e">
        <f>IF(AND(OR($F$13="Association",$F$13="Secteur privé"),ch_ej_prev=2020),20%,0%)</f>
        <v>#REF!</v>
      </c>
      <c r="E31" s="64" t="e">
        <f>IF(nb_vers_chg=3,IF(AND(K31="début",ch_avance_chg&gt;0),40%,IF(ch_avance_chg&gt;0,20%,25%)),IF(nb_vers_chg=2,IF(AND(K31="début",ch_avance_chg&gt;0),40%,30%),IF(nb_vers_chg=1,50%,0%)))</f>
        <v>#REF!</v>
      </c>
      <c r="F31" s="64" t="e">
        <f>IF(nb_vers_chg=3,IF(AND(K31="début",ch_avance_chg&gt;0),20%,IF(ch_avance_chg&gt;0,20%,25%)),IF(nb_vers_chg=2,IF(AND(K31="début",ch_avance_chg&gt;0),40%,30%),IF(nb_vers_chg=1,0%,0%)))</f>
        <v>#REF!</v>
      </c>
      <c r="G31" s="64" t="e">
        <f>IF(nb_vers_chg=3,IF(AND(K31="début",ch_avance_chg&gt;0),20%,IF(ch_avance_chg&gt;0,20%,25%)),0)</f>
        <v>#REF!</v>
      </c>
      <c r="H31" s="21" t="e">
        <f>IF(AND(OR($F$13="Association",$F$13="Secteur privé"),ch_ej_prev=2020),ch_avance_notif,ch_avance_ods)</f>
        <v>#REF!</v>
      </c>
      <c r="K31" s="5" t="e">
        <f>IF(AND(OR($F$13="Association",$F$13="Secteur privé"),ch_ej_prev=2020),"fin","début")</f>
        <v>#REF!</v>
      </c>
      <c r="L31" s="61" t="s">
        <v>26</v>
      </c>
      <c r="M31" s="6"/>
      <c r="N31" s="12"/>
      <c r="O31" s="65" t="s">
        <v>12</v>
      </c>
    </row>
    <row r="32" spans="2:15" s="3" customFormat="1" ht="18" hidden="1" customHeight="1" x14ac:dyDescent="0.35">
      <c r="B32" s="67" t="s">
        <v>48</v>
      </c>
      <c r="C32" s="68">
        <v>1</v>
      </c>
      <c r="D32" s="69" t="e">
        <f>IF(AND(OR($F$13="Association",$F$13="Secteur privé"),ch_ej_prev=2020),20%,0%)</f>
        <v>#REF!</v>
      </c>
      <c r="E32" s="69">
        <v>0.4</v>
      </c>
      <c r="F32" s="69">
        <f>IF(C32=3,IF(AND(K32="début",D32&gt;0),20%,IF(D32&gt;0,20%,25%)),IF(C32=2,IF(AND(K32="début",D32&gt;0),40%,30%),IF(C32=1,0%,0%)))</f>
        <v>0</v>
      </c>
      <c r="G32" s="69">
        <f>IF(C32=3,IF(AND(K32="début",D32&gt;0),20%,IF(D32&gt;0,20%,25%)),0)</f>
        <v>0</v>
      </c>
      <c r="H32" s="21" t="e">
        <f>IF(AND(OR($F$13="Association",$F$13="Secteur privé"),ch_ej_prev=2020),ch_avance_notif,ch_avance_ods)</f>
        <v>#REF!</v>
      </c>
      <c r="K32" s="5" t="e">
        <f>IF(AND(OR($F$13="Association",$F$13="Secteur privé"),ch_ej_prev=2020),"fin","début")</f>
        <v>#REF!</v>
      </c>
      <c r="L32" s="61" t="s">
        <v>26</v>
      </c>
      <c r="M32" s="6"/>
      <c r="N32" s="12"/>
      <c r="O32" s="70" t="s">
        <v>12</v>
      </c>
    </row>
    <row r="33" spans="2:15" ht="18" hidden="1" customHeight="1" x14ac:dyDescent="0.35">
      <c r="B33" s="71"/>
      <c r="C33" s="71"/>
      <c r="D33" s="71"/>
      <c r="E33" s="71"/>
      <c r="F33" s="71"/>
      <c r="G33" s="71"/>
      <c r="H33" s="71"/>
      <c r="N33" s="12"/>
    </row>
    <row r="34" spans="2:15" ht="18" hidden="1" customHeight="1" x14ac:dyDescent="0.35">
      <c r="B34" s="10" t="s">
        <v>49</v>
      </c>
      <c r="C34" s="11"/>
      <c r="D34" s="11"/>
      <c r="E34" s="11"/>
      <c r="F34" s="11"/>
      <c r="G34" s="11"/>
      <c r="H34" s="11"/>
      <c r="K34" s="31"/>
      <c r="L34" s="29"/>
      <c r="N34" s="30"/>
    </row>
    <row r="35" spans="2:15" s="3" customFormat="1" ht="18" hidden="1" customHeight="1" x14ac:dyDescent="0.35">
      <c r="L35" s="29"/>
      <c r="M35" s="6"/>
      <c r="N35" s="30"/>
      <c r="O35" s="2"/>
    </row>
    <row r="36" spans="2:15" s="3" customFormat="1" ht="18" hidden="1" customHeight="1" x14ac:dyDescent="0.35">
      <c r="B36" s="72" t="s">
        <v>50</v>
      </c>
      <c r="C36" s="73"/>
      <c r="D36" s="32" t="s">
        <v>12</v>
      </c>
      <c r="E36" s="73"/>
      <c r="F36" s="73"/>
      <c r="G36" s="73"/>
      <c r="H36" s="73"/>
      <c r="K36" s="4"/>
      <c r="L36" s="74"/>
      <c r="M36" s="6"/>
      <c r="N36" s="12"/>
      <c r="O36" s="2" t="e">
        <f>IF(ch_mef=ch_oui,"","Permet de masquer automatiquement les lignes non utilisées")</f>
        <v>#REF!</v>
      </c>
    </row>
    <row r="37" spans="2:15" s="3" customFormat="1" ht="18" hidden="1" customHeight="1" x14ac:dyDescent="0.35">
      <c r="B37" s="73"/>
      <c r="C37" s="73"/>
      <c r="D37" s="73"/>
      <c r="E37" s="73"/>
      <c r="F37" s="73"/>
      <c r="G37" s="73"/>
      <c r="H37" s="73"/>
      <c r="K37" s="4"/>
      <c r="L37" s="74"/>
      <c r="M37" s="6"/>
      <c r="N37" s="30"/>
      <c r="O37" s="2"/>
    </row>
    <row r="38" spans="2:15" s="3" customFormat="1" ht="18" hidden="1" customHeight="1" x14ac:dyDescent="0.35">
      <c r="B38" s="190" t="s">
        <v>51</v>
      </c>
      <c r="C38" s="190"/>
      <c r="D38" s="190"/>
      <c r="E38" s="190"/>
      <c r="F38" s="190"/>
      <c r="G38" s="190"/>
      <c r="H38" s="190"/>
      <c r="K38" s="75"/>
      <c r="L38" s="5"/>
      <c r="M38" s="6"/>
      <c r="N38" s="30"/>
      <c r="O38" s="2"/>
    </row>
    <row r="39" spans="2:15" s="3" customFormat="1" ht="18" hidden="1" customHeight="1" x14ac:dyDescent="0.35">
      <c r="B39" s="191" t="s">
        <v>52</v>
      </c>
      <c r="C39" s="191"/>
      <c r="D39" s="191"/>
      <c r="E39" s="191"/>
      <c r="F39" s="191"/>
      <c r="G39" s="191"/>
      <c r="H39" s="191"/>
      <c r="K39" s="76"/>
      <c r="L39" s="5"/>
      <c r="M39" s="6"/>
      <c r="N39" s="30"/>
      <c r="O39" s="2"/>
    </row>
    <row r="40" spans="2:15" s="3" customFormat="1" ht="18" hidden="1" customHeight="1" x14ac:dyDescent="0.35">
      <c r="B40" s="191" t="e">
        <f>IF(OR(ch_avenant="Non",ch_avenant=""),"C",ch_avenant&amp;" au c")&amp;"ontrat de financement n° "&amp;ch_num_contrat&amp;" conclu entre "&amp;F14&amp;" et l'ADEME"</f>
        <v>#REF!</v>
      </c>
      <c r="C40" s="191"/>
      <c r="D40" s="191"/>
      <c r="E40" s="191"/>
      <c r="F40" s="191"/>
      <c r="G40" s="191"/>
      <c r="H40" s="191"/>
      <c r="K40" s="76"/>
      <c r="L40" s="5"/>
      <c r="M40" s="6"/>
      <c r="N40" s="30"/>
      <c r="O40" s="2"/>
    </row>
    <row r="41" spans="2:15" s="3" customFormat="1" ht="18" hidden="1" customHeight="1" x14ac:dyDescent="0.35">
      <c r="K41" s="4"/>
      <c r="L41" s="5"/>
      <c r="M41" s="6"/>
      <c r="N41" s="30"/>
      <c r="O41" s="2"/>
    </row>
    <row r="42" spans="2:15" s="3" customFormat="1" ht="18" hidden="1" customHeight="1" x14ac:dyDescent="0.35">
      <c r="B42" s="34" t="e">
        <f>"Cette opération est réalisée dans le cadre d'une activité "&amp;IF(ch_nature_act2=ch_non_eco,"non économique.","économique.")</f>
        <v>#REF!</v>
      </c>
      <c r="K42" s="4"/>
      <c r="L42" s="5"/>
      <c r="M42" s="6"/>
      <c r="N42" s="30"/>
      <c r="O42" s="2"/>
    </row>
    <row r="43" spans="2:15" s="3" customFormat="1" ht="18" hidden="1" customHeight="1" x14ac:dyDescent="0.35">
      <c r="K43" s="4"/>
      <c r="L43" s="5"/>
      <c r="M43" s="6"/>
      <c r="N43" s="30"/>
      <c r="O43" s="2"/>
    </row>
    <row r="44" spans="2:15" s="3" customFormat="1" ht="18" customHeight="1" x14ac:dyDescent="0.35">
      <c r="B44" s="10" t="s">
        <v>53</v>
      </c>
      <c r="C44" s="11"/>
      <c r="D44" s="11"/>
      <c r="E44" s="11"/>
      <c r="F44" s="11"/>
      <c r="G44" s="11"/>
      <c r="H44" s="11"/>
      <c r="K44" s="31"/>
      <c r="L44" s="5"/>
      <c r="M44" s="6">
        <v>1</v>
      </c>
      <c r="N44" s="30"/>
      <c r="O44" s="2"/>
    </row>
    <row r="45" spans="2:15" s="3" customFormat="1" ht="18" customHeight="1" x14ac:dyDescent="0.35">
      <c r="K45" s="4"/>
      <c r="L45" s="5"/>
      <c r="M45" s="6">
        <v>1</v>
      </c>
      <c r="N45" s="30"/>
      <c r="O45" s="2"/>
    </row>
    <row r="46" spans="2:15" s="3" customFormat="1" ht="18" customHeight="1" x14ac:dyDescent="0.35">
      <c r="B46" s="192" t="s">
        <v>54</v>
      </c>
      <c r="C46" s="192"/>
      <c r="D46" s="192"/>
      <c r="E46" s="192"/>
      <c r="F46" s="192"/>
      <c r="G46" s="192"/>
      <c r="H46" s="192"/>
      <c r="K46" s="77"/>
      <c r="L46" s="5"/>
      <c r="M46" s="6">
        <v>1</v>
      </c>
      <c r="N46" s="30"/>
      <c r="O46" s="2"/>
    </row>
    <row r="47" spans="2:15" s="3" customFormat="1" ht="18" customHeight="1" x14ac:dyDescent="0.35">
      <c r="K47" s="4"/>
      <c r="L47" s="5"/>
      <c r="M47" s="6">
        <v>1</v>
      </c>
      <c r="N47" s="30"/>
      <c r="O47" s="2"/>
    </row>
    <row r="48" spans="2:15" s="3" customFormat="1" ht="18" customHeight="1" x14ac:dyDescent="0.35">
      <c r="B48" s="78" t="s">
        <v>137</v>
      </c>
      <c r="K48" s="4"/>
      <c r="L48" s="5"/>
      <c r="M48" s="6" t="e">
        <f>IF(ch_connaissance=ch_oui,1,0)</f>
        <v>#REF!</v>
      </c>
      <c r="N48" s="30"/>
      <c r="O48" s="2"/>
    </row>
    <row r="49" spans="2:15" s="3" customFormat="1" ht="18" customHeight="1" x14ac:dyDescent="0.35">
      <c r="K49" s="4"/>
      <c r="L49" s="5"/>
      <c r="M49" s="6" t="e">
        <f>IF(ch_connaissance=ch_oui,1,0)</f>
        <v>#REF!</v>
      </c>
      <c r="N49" s="30"/>
      <c r="O49" s="2"/>
    </row>
    <row r="50" spans="2:15" s="3" customFormat="1" ht="42.5" thickBot="1" x14ac:dyDescent="0.4">
      <c r="B50" s="79" t="s">
        <v>55</v>
      </c>
      <c r="C50" s="193" t="s">
        <v>56</v>
      </c>
      <c r="D50" s="194"/>
      <c r="E50" s="194"/>
      <c r="F50" s="195"/>
      <c r="G50" s="79" t="s">
        <v>57</v>
      </c>
      <c r="H50" s="13" t="s">
        <v>58</v>
      </c>
      <c r="K50" s="14"/>
      <c r="L50" s="5"/>
      <c r="M50" s="6" t="e">
        <f>IF(ch_connaissance=ch_oui,1,0)</f>
        <v>#REF!</v>
      </c>
      <c r="N50" s="12" t="e">
        <f>IF(O50="",0,1)</f>
        <v>#REF!</v>
      </c>
      <c r="O50" s="2" t="e">
        <f>IF(ch_connaissance=ch_oui,IF(G52&gt;0,"","Veuillez saisir les coûts de l'opération"),"")</f>
        <v>#REF!</v>
      </c>
    </row>
    <row r="51" spans="2:15" s="3" customFormat="1" ht="28.5" thickBot="1" x14ac:dyDescent="0.4">
      <c r="B51" s="149" t="s">
        <v>59</v>
      </c>
      <c r="C51" s="187" t="s">
        <v>112</v>
      </c>
      <c r="D51" s="188"/>
      <c r="E51" s="188"/>
      <c r="F51" s="189"/>
      <c r="G51" s="150"/>
      <c r="H51" s="151">
        <f t="shared" ref="H51" si="0">G51</f>
        <v>0</v>
      </c>
      <c r="K51" s="16"/>
      <c r="L51" s="5"/>
      <c r="M51" s="6" t="e">
        <f t="shared" ref="M51" si="1">IF(ch_connaissance=ch_oui,IF(G51+H51&gt;0,1,0),0)</f>
        <v>#REF!</v>
      </c>
      <c r="N51" s="30"/>
      <c r="O51" s="2"/>
    </row>
    <row r="52" spans="2:15" s="3" customFormat="1" ht="18" customHeight="1" x14ac:dyDescent="0.35">
      <c r="B52" s="161" t="s">
        <v>138</v>
      </c>
      <c r="C52" s="86"/>
      <c r="D52" s="86"/>
      <c r="E52" s="86"/>
      <c r="F52" s="87"/>
      <c r="G52" s="88">
        <f>SUM(G51:G51)</f>
        <v>0</v>
      </c>
      <c r="H52" s="84">
        <f>SUM(H51:H51)</f>
        <v>0</v>
      </c>
      <c r="K52" s="26"/>
      <c r="L52" s="5"/>
      <c r="M52" s="6" t="e">
        <f>IF(ch_connaissance=ch_oui,1,0)</f>
        <v>#REF!</v>
      </c>
      <c r="N52" s="30"/>
      <c r="O52" s="2"/>
    </row>
    <row r="53" spans="2:15" s="3" customFormat="1" ht="18" customHeight="1" x14ac:dyDescent="0.35">
      <c r="B53" s="34" t="s">
        <v>62</v>
      </c>
      <c r="K53" s="4"/>
      <c r="L53" s="5"/>
      <c r="M53" s="6" t="e">
        <f>IF(ch_connaissance=ch_oui,1,0)</f>
        <v>#REF!</v>
      </c>
      <c r="N53" s="30"/>
      <c r="O53" s="2"/>
    </row>
    <row r="54" spans="2:15" s="3" customFormat="1" ht="18" customHeight="1" x14ac:dyDescent="0.35">
      <c r="K54" s="4"/>
      <c r="L54" s="5"/>
      <c r="M54" s="6" t="e">
        <f>IF(ch_connaissance=ch_oui,1,0)</f>
        <v>#REF!</v>
      </c>
      <c r="N54" s="30"/>
      <c r="O54" s="2"/>
    </row>
    <row r="55" spans="2:15" s="3" customFormat="1" ht="18" customHeight="1" x14ac:dyDescent="0.35">
      <c r="B55" s="78" t="s">
        <v>106</v>
      </c>
      <c r="K55" s="4"/>
      <c r="L55" s="5"/>
      <c r="M55" s="6" t="e">
        <f>IF(AND(ch_nb_lots_connaissance&gt;1,ch_connaissance=ch_oui),1,0)</f>
        <v>#REF!</v>
      </c>
      <c r="N55" s="30"/>
      <c r="O55" s="2"/>
    </row>
    <row r="56" spans="2:15" s="3" customFormat="1" ht="18" customHeight="1" x14ac:dyDescent="0.35">
      <c r="K56" s="4"/>
      <c r="L56" s="5"/>
      <c r="M56" s="6" t="e">
        <f>IF(AND(ch_nb_lots_connaissance&gt;1,ch_connaissance=ch_oui),1,0)</f>
        <v>#REF!</v>
      </c>
      <c r="N56" s="30"/>
      <c r="O56" s="2"/>
    </row>
    <row r="57" spans="2:15" s="3" customFormat="1" ht="42" x14ac:dyDescent="0.35">
      <c r="B57" s="96" t="s">
        <v>56</v>
      </c>
      <c r="C57" s="97"/>
      <c r="D57" s="97"/>
      <c r="E57" s="97"/>
      <c r="F57" s="98"/>
      <c r="G57" s="79" t="s">
        <v>57</v>
      </c>
      <c r="H57" s="13" t="s">
        <v>58</v>
      </c>
      <c r="K57" s="14"/>
      <c r="L57" s="5"/>
      <c r="M57" s="6" t="e">
        <f>IF(AND(ch_nb_lots_connaissance&gt;1,ch_connaissance=ch_oui),1,0)</f>
        <v>#REF!</v>
      </c>
      <c r="N57" s="12" t="e">
        <f>IF(O57="",0,1)</f>
        <v>#REF!</v>
      </c>
      <c r="O57" s="2" t="e">
        <f>IF(AND(ch_connaissance=ch_oui,ch_nb_lots_connaissance&gt;1),IF(#REF!&gt;0,"","Veuillez saisir les coûts de l'opération"),"")</f>
        <v>#REF!</v>
      </c>
    </row>
    <row r="58" spans="2:15" s="3" customFormat="1" ht="18" customHeight="1" x14ac:dyDescent="0.35">
      <c r="B58" s="91" t="s">
        <v>63</v>
      </c>
      <c r="C58" s="89"/>
      <c r="D58" s="89"/>
      <c r="E58" s="89"/>
      <c r="F58" s="90"/>
      <c r="G58" s="80"/>
      <c r="H58" s="81">
        <f t="shared" ref="H58:H76" si="2">G58</f>
        <v>0</v>
      </c>
      <c r="K58" s="16"/>
      <c r="L58" s="5"/>
      <c r="M58" s="6" t="e">
        <f>IF(AND(ch_nb_lots_connaissance&gt;1,ch_connaissance=ch_oui),IF(#REF!+#REF!&gt;0,1,0),0)</f>
        <v>#REF!</v>
      </c>
      <c r="N58" s="30"/>
      <c r="O58" s="2"/>
    </row>
    <row r="59" spans="2:15" s="3" customFormat="1" ht="18" customHeight="1" x14ac:dyDescent="0.35">
      <c r="B59" s="91" t="s">
        <v>63</v>
      </c>
      <c r="C59" s="89"/>
      <c r="D59" s="89"/>
      <c r="E59" s="89"/>
      <c r="F59" s="90"/>
      <c r="G59" s="82"/>
      <c r="H59" s="83">
        <f t="shared" si="2"/>
        <v>0</v>
      </c>
      <c r="K59" s="16"/>
      <c r="L59" s="5"/>
      <c r="M59" s="6" t="e">
        <f>IF(AND(ch_nb_lots_connaissance&gt;1,ch_connaissance=ch_oui),IF(#REF!+#REF!&gt;0,1,0),0)</f>
        <v>#REF!</v>
      </c>
      <c r="N59" s="30"/>
      <c r="O59" s="2"/>
    </row>
    <row r="60" spans="2:15" s="3" customFormat="1" ht="18" customHeight="1" x14ac:dyDescent="0.35">
      <c r="B60" s="91" t="s">
        <v>63</v>
      </c>
      <c r="C60" s="89"/>
      <c r="D60" s="89"/>
      <c r="E60" s="89"/>
      <c r="F60" s="90"/>
      <c r="G60" s="82"/>
      <c r="H60" s="83">
        <f t="shared" si="2"/>
        <v>0</v>
      </c>
      <c r="K60" s="16"/>
      <c r="L60" s="5"/>
      <c r="M60" s="6" t="e">
        <f>IF(AND(ch_nb_lots_connaissance&gt;1,ch_connaissance=ch_oui),IF(#REF!+#REF!&gt;0,1,0),0)</f>
        <v>#REF!</v>
      </c>
      <c r="N60" s="30"/>
      <c r="O60" s="2"/>
    </row>
    <row r="61" spans="2:15" s="3" customFormat="1" ht="18" customHeight="1" x14ac:dyDescent="0.35">
      <c r="B61" s="91" t="s">
        <v>63</v>
      </c>
      <c r="C61" s="89"/>
      <c r="D61" s="89"/>
      <c r="E61" s="89"/>
      <c r="F61" s="90"/>
      <c r="G61" s="82"/>
      <c r="H61" s="83">
        <f t="shared" si="2"/>
        <v>0</v>
      </c>
      <c r="K61" s="16"/>
      <c r="L61" s="5"/>
      <c r="M61" s="6" t="e">
        <f>IF(AND(ch_nb_lots_connaissance&gt;1,ch_connaissance=ch_oui),IF(#REF!+#REF!&gt;0,1,0),0)</f>
        <v>#REF!</v>
      </c>
      <c r="N61" s="30"/>
      <c r="O61" s="2"/>
    </row>
    <row r="62" spans="2:15" s="3" customFormat="1" ht="18" customHeight="1" x14ac:dyDescent="0.35">
      <c r="B62" s="91" t="s">
        <v>63</v>
      </c>
      <c r="C62" s="89"/>
      <c r="D62" s="89"/>
      <c r="E62" s="89"/>
      <c r="F62" s="90"/>
      <c r="G62" s="82"/>
      <c r="H62" s="83">
        <f t="shared" si="2"/>
        <v>0</v>
      </c>
      <c r="K62" s="16"/>
      <c r="L62" s="5"/>
      <c r="M62" s="6" t="e">
        <f>IF(AND(ch_nb_lots_connaissance&gt;1,ch_connaissance=ch_oui),IF(#REF!+#REF!&gt;0,1,0),0)</f>
        <v>#REF!</v>
      </c>
      <c r="N62" s="30"/>
      <c r="O62" s="2"/>
    </row>
    <row r="63" spans="2:15" s="3" customFormat="1" ht="18" customHeight="1" x14ac:dyDescent="0.35">
      <c r="B63" s="91" t="s">
        <v>63</v>
      </c>
      <c r="C63" s="89"/>
      <c r="D63" s="89"/>
      <c r="E63" s="89"/>
      <c r="F63" s="90"/>
      <c r="G63" s="82"/>
      <c r="H63" s="83">
        <f t="shared" si="2"/>
        <v>0</v>
      </c>
      <c r="K63" s="16"/>
      <c r="L63" s="5"/>
      <c r="M63" s="6" t="e">
        <f>IF(AND(ch_nb_lots_connaissance&gt;1,ch_connaissance=ch_oui),IF(#REF!+#REF!&gt;0,1,0),0)</f>
        <v>#REF!</v>
      </c>
      <c r="N63" s="30"/>
      <c r="O63" s="2"/>
    </row>
    <row r="64" spans="2:15" s="3" customFormat="1" ht="18" customHeight="1" x14ac:dyDescent="0.35">
      <c r="B64" s="91" t="s">
        <v>64</v>
      </c>
      <c r="C64" s="89"/>
      <c r="D64" s="89"/>
      <c r="E64" s="89"/>
      <c r="F64" s="90"/>
      <c r="G64" s="82"/>
      <c r="H64" s="83">
        <f t="shared" si="2"/>
        <v>0</v>
      </c>
      <c r="K64" s="16"/>
      <c r="L64" s="5"/>
      <c r="M64" s="6" t="e">
        <f>IF(AND(ch_nb_lots_connaissance&gt;1,ch_connaissance=ch_oui),IF(#REF!+#REF!&gt;0,1,0),0)</f>
        <v>#REF!</v>
      </c>
      <c r="N64" s="30"/>
      <c r="O64" s="2"/>
    </row>
    <row r="65" spans="2:15" s="3" customFormat="1" ht="18" customHeight="1" x14ac:dyDescent="0.35">
      <c r="B65" s="91" t="s">
        <v>64</v>
      </c>
      <c r="C65" s="89"/>
      <c r="D65" s="89"/>
      <c r="E65" s="89"/>
      <c r="F65" s="90"/>
      <c r="G65" s="82"/>
      <c r="H65" s="83">
        <f>MIN(10%*G77,IF(G65=0,0,G65))</f>
        <v>0</v>
      </c>
      <c r="K65" s="16"/>
      <c r="L65" s="5"/>
      <c r="M65" s="6" t="e">
        <f>IF(AND(ch_nb_lots_connaissance&gt;1,ch_connaissance=ch_oui),IF(#REF!+#REF!&gt;0,1,0),0)</f>
        <v>#REF!</v>
      </c>
      <c r="N65" s="30"/>
      <c r="O65" s="2"/>
    </row>
    <row r="66" spans="2:15" s="3" customFormat="1" ht="18" customHeight="1" x14ac:dyDescent="0.35">
      <c r="B66" s="91" t="s">
        <v>64</v>
      </c>
      <c r="C66" s="89"/>
      <c r="D66" s="89"/>
      <c r="E66" s="89"/>
      <c r="F66" s="90"/>
      <c r="G66" s="82"/>
      <c r="H66" s="83">
        <f t="shared" si="2"/>
        <v>0</v>
      </c>
      <c r="K66" s="16"/>
      <c r="L66" s="5"/>
      <c r="M66" s="6" t="e">
        <f>IF(AND(ch_nb_lots_connaissance&gt;1,ch_connaissance=ch_oui),IF(#REF!+#REF!&gt;0,1,0),0)</f>
        <v>#REF!</v>
      </c>
      <c r="N66" s="30"/>
      <c r="O66" s="2"/>
    </row>
    <row r="67" spans="2:15" s="3" customFormat="1" ht="18" customHeight="1" x14ac:dyDescent="0.35">
      <c r="B67" s="91" t="s">
        <v>64</v>
      </c>
      <c r="C67" s="89"/>
      <c r="D67" s="89"/>
      <c r="E67" s="89"/>
      <c r="F67" s="90"/>
      <c r="G67" s="82"/>
      <c r="H67" s="83">
        <f t="shared" si="2"/>
        <v>0</v>
      </c>
      <c r="K67" s="16"/>
      <c r="L67" s="5"/>
      <c r="M67" s="6" t="e">
        <f>IF(AND(ch_nb_lots_connaissance&gt;1,ch_connaissance=ch_oui),IF(#REF!+#REF!&gt;0,1,0),0)</f>
        <v>#REF!</v>
      </c>
      <c r="N67" s="30"/>
      <c r="O67" s="2"/>
    </row>
    <row r="68" spans="2:15" s="3" customFormat="1" ht="18" customHeight="1" x14ac:dyDescent="0.35">
      <c r="B68" s="91" t="s">
        <v>136</v>
      </c>
      <c r="C68" s="89"/>
      <c r="D68" s="89"/>
      <c r="E68" s="89"/>
      <c r="F68" s="90"/>
      <c r="G68" s="82"/>
      <c r="H68" s="83"/>
      <c r="K68" s="16"/>
      <c r="L68" s="5"/>
      <c r="M68" s="6"/>
      <c r="N68" s="30"/>
      <c r="O68" s="2"/>
    </row>
    <row r="69" spans="2:15" s="3" customFormat="1" ht="18" customHeight="1" x14ac:dyDescent="0.35">
      <c r="B69" s="91" t="s">
        <v>136</v>
      </c>
      <c r="C69" s="89"/>
      <c r="D69" s="89"/>
      <c r="E69" s="89"/>
      <c r="F69" s="90"/>
      <c r="G69" s="82"/>
      <c r="H69" s="83"/>
      <c r="K69" s="16"/>
      <c r="L69" s="5"/>
      <c r="M69" s="6"/>
      <c r="N69" s="30"/>
      <c r="O69" s="2"/>
    </row>
    <row r="70" spans="2:15" s="3" customFormat="1" ht="18" customHeight="1" x14ac:dyDescent="0.35">
      <c r="B70" s="91" t="s">
        <v>136</v>
      </c>
      <c r="C70" s="89"/>
      <c r="D70" s="89"/>
      <c r="E70" s="89"/>
      <c r="F70" s="90"/>
      <c r="G70" s="82"/>
      <c r="H70" s="83"/>
      <c r="K70" s="16"/>
      <c r="L70" s="5"/>
      <c r="M70" s="6"/>
      <c r="N70" s="30"/>
      <c r="O70" s="2"/>
    </row>
    <row r="71" spans="2:15" s="3" customFormat="1" ht="18" customHeight="1" x14ac:dyDescent="0.35">
      <c r="B71" s="91" t="s">
        <v>136</v>
      </c>
      <c r="C71" s="89"/>
      <c r="D71" s="89"/>
      <c r="E71" s="89"/>
      <c r="F71" s="90"/>
      <c r="G71" s="82"/>
      <c r="H71" s="83"/>
      <c r="K71" s="16"/>
      <c r="L71" s="5"/>
      <c r="M71" s="6"/>
      <c r="N71" s="30"/>
      <c r="O71" s="2"/>
    </row>
    <row r="72" spans="2:15" s="3" customFormat="1" ht="18" customHeight="1" x14ac:dyDescent="0.35">
      <c r="B72" s="91" t="s">
        <v>65</v>
      </c>
      <c r="C72" s="89"/>
      <c r="D72" s="89"/>
      <c r="E72" s="89"/>
      <c r="F72" s="90"/>
      <c r="G72" s="82"/>
      <c r="H72" s="83">
        <f t="shared" si="2"/>
        <v>0</v>
      </c>
      <c r="K72" s="26"/>
      <c r="L72" s="5"/>
      <c r="M72" s="6" t="e">
        <f>IF(AND(ch_nb_lots_connaissance&gt;1,ch_connaissance=ch_oui),IF(#REF!+#REF!&gt;0,1,0),0)</f>
        <v>#REF!</v>
      </c>
      <c r="N72" s="30"/>
      <c r="O72" s="2"/>
    </row>
    <row r="73" spans="2:15" s="3" customFormat="1" ht="18" customHeight="1" x14ac:dyDescent="0.35">
      <c r="B73" s="91" t="s">
        <v>66</v>
      </c>
      <c r="C73" s="89"/>
      <c r="D73" s="89"/>
      <c r="E73" s="89"/>
      <c r="F73" s="90"/>
      <c r="G73" s="82"/>
      <c r="H73" s="83">
        <f t="shared" si="2"/>
        <v>0</v>
      </c>
      <c r="K73" s="16"/>
      <c r="L73" s="5"/>
      <c r="M73" s="6" t="e">
        <f>IF(AND(ch_nb_lots_connaissance&gt;1,ch_connaissance=ch_oui),IF(#REF!+#REF!&gt;0,1,0),0)</f>
        <v>#REF!</v>
      </c>
      <c r="N73" s="30"/>
      <c r="O73" s="2"/>
    </row>
    <row r="74" spans="2:15" s="3" customFormat="1" ht="18" customHeight="1" x14ac:dyDescent="0.35">
      <c r="B74" s="91" t="s">
        <v>60</v>
      </c>
      <c r="C74" s="89"/>
      <c r="D74" s="89"/>
      <c r="E74" s="89"/>
      <c r="F74" s="90"/>
      <c r="G74" s="82"/>
      <c r="H74" s="83">
        <f t="shared" si="2"/>
        <v>0</v>
      </c>
      <c r="K74" s="16"/>
      <c r="L74" s="5"/>
      <c r="M74" s="6" t="e">
        <f>IF(AND(ch_nb_lots_connaissance&gt;1,ch_connaissance=ch_oui),IF(#REF!+#REF!&gt;0,1,0),0)</f>
        <v>#REF!</v>
      </c>
      <c r="N74" s="30"/>
      <c r="O74" s="2"/>
    </row>
    <row r="75" spans="2:15" s="3" customFormat="1" ht="18" customHeight="1" x14ac:dyDescent="0.35">
      <c r="B75" s="91" t="s">
        <v>61</v>
      </c>
      <c r="C75" s="89"/>
      <c r="D75" s="89"/>
      <c r="E75" s="89"/>
      <c r="F75" s="90"/>
      <c r="G75" s="82"/>
      <c r="H75" s="83">
        <f t="shared" si="2"/>
        <v>0</v>
      </c>
      <c r="K75" s="16"/>
      <c r="L75" s="5"/>
      <c r="M75" s="6" t="e">
        <f>IF(AND(ch_nb_lots_connaissance&gt;1,ch_connaissance=ch_oui),IF(#REF!+#REF!&gt;0,1,0),0)</f>
        <v>#REF!</v>
      </c>
      <c r="N75" s="30"/>
      <c r="O75" s="2"/>
    </row>
    <row r="76" spans="2:15" s="3" customFormat="1" ht="18" customHeight="1" x14ac:dyDescent="0.35">
      <c r="B76" s="152" t="s">
        <v>61</v>
      </c>
      <c r="C76" s="99"/>
      <c r="D76" s="99"/>
      <c r="E76" s="99"/>
      <c r="F76" s="100"/>
      <c r="G76" s="101"/>
      <c r="H76" s="102">
        <f t="shared" si="2"/>
        <v>0</v>
      </c>
      <c r="K76" s="16"/>
      <c r="L76" s="5"/>
      <c r="M76" s="6" t="e">
        <f>IF(AND(ch_nb_lots_connaissance&gt;1,ch_connaissance=ch_oui),IF(#REF!+#REF!&gt;0,1,0),0)</f>
        <v>#REF!</v>
      </c>
      <c r="N76" s="30"/>
      <c r="O76" s="2"/>
    </row>
    <row r="77" spans="2:15" s="3" customFormat="1" ht="42" x14ac:dyDescent="0.35">
      <c r="B77" s="85" t="s">
        <v>67</v>
      </c>
      <c r="C77" s="86"/>
      <c r="D77" s="86"/>
      <c r="E77" s="86"/>
      <c r="F77" s="87"/>
      <c r="G77" s="24">
        <f>SUM(G58:G76)</f>
        <v>0</v>
      </c>
      <c r="H77" s="24">
        <f>SUM(H58:H76)</f>
        <v>0</v>
      </c>
      <c r="K77" s="16"/>
      <c r="L77" s="5"/>
      <c r="M77" s="6" t="e">
        <f>IF(AND(ch_nb_lots_connaissance&gt;1,ch_connaissance=ch_oui),IF(#REF!+#REF!&gt;0,1,0),0)</f>
        <v>#REF!</v>
      </c>
      <c r="N77" s="30"/>
      <c r="O77" s="2"/>
    </row>
    <row r="78" spans="2:15" s="3" customFormat="1" ht="18" customHeight="1" x14ac:dyDescent="0.35">
      <c r="B78" s="34" t="s">
        <v>62</v>
      </c>
      <c r="K78" s="16"/>
      <c r="L78" s="5"/>
      <c r="M78" s="6" t="e">
        <f>IF(AND(ch_nb_lots_connaissance&gt;1,ch_connaissance=ch_oui),IF(#REF!+#REF!&gt;0,1,0),0)</f>
        <v>#REF!</v>
      </c>
      <c r="N78" s="30"/>
      <c r="O78" s="2"/>
    </row>
    <row r="79" spans="2:15" s="3" customFormat="1" ht="18" customHeight="1" x14ac:dyDescent="0.35">
      <c r="K79" s="16"/>
      <c r="L79" s="5"/>
      <c r="M79" s="6" t="e">
        <f>IF(AND(ch_nb_lots_connaissance&gt;1,ch_connaissance=ch_oui),IF(#REF!+#REF!&gt;0,1,0),0)</f>
        <v>#REF!</v>
      </c>
      <c r="N79" s="30"/>
      <c r="O79" s="2"/>
    </row>
    <row r="80" spans="2:15" s="3" customFormat="1" ht="18" customHeight="1" x14ac:dyDescent="0.35">
      <c r="B80" s="95"/>
      <c r="C80" s="95"/>
      <c r="D80" s="95"/>
      <c r="E80" s="95"/>
      <c r="F80" s="95"/>
      <c r="K80" s="16"/>
      <c r="L80" s="5"/>
      <c r="M80" s="6" t="e">
        <f>IF(AND(ch_nb_lots_connaissance&gt;1,ch_connaissance=ch_oui),IF(#REF!+#REF!&gt;0,1,0),0)</f>
        <v>#REF!</v>
      </c>
      <c r="N80" s="30"/>
      <c r="O80" s="2"/>
    </row>
    <row r="81" spans="2:15" s="3" customFormat="1" ht="18" customHeight="1" x14ac:dyDescent="0.35">
      <c r="B81" s="103" t="s">
        <v>68</v>
      </c>
      <c r="C81" s="104"/>
      <c r="D81" s="104"/>
      <c r="E81" s="104"/>
      <c r="F81" s="104"/>
      <c r="G81"/>
      <c r="H81"/>
      <c r="K81" s="16"/>
      <c r="L81" s="5"/>
      <c r="M81" s="6" t="e">
        <f>IF(AND(ch_nb_lots_connaissance&gt;1,ch_connaissance=ch_oui),IF(#REF!+#REF!&gt;0,1,0),0)</f>
        <v>#REF!</v>
      </c>
      <c r="N81" s="30"/>
      <c r="O81" s="2"/>
    </row>
    <row r="82" spans="2:15" s="3" customFormat="1" ht="18" customHeight="1" x14ac:dyDescent="0.3">
      <c r="B82" s="105" t="s">
        <v>69</v>
      </c>
      <c r="C82" s="103"/>
      <c r="D82" s="103"/>
      <c r="E82" s="103"/>
      <c r="F82" s="103"/>
      <c r="G82" s="103"/>
      <c r="H82" s="103"/>
      <c r="K82" s="16"/>
      <c r="L82" s="5"/>
      <c r="M82" s="6" t="e">
        <f>IF(AND(ch_nb_lots_connaissance&gt;1,ch_connaissance=ch_oui),IF(#REF!+#REF!&gt;0,1,0),0)</f>
        <v>#REF!</v>
      </c>
      <c r="N82" s="30"/>
      <c r="O82" s="2"/>
    </row>
    <row r="83" spans="2:15" s="3" customFormat="1" ht="18" customHeight="1" x14ac:dyDescent="0.3">
      <c r="B83" s="106" t="s">
        <v>70</v>
      </c>
      <c r="C83" s="105"/>
      <c r="D83" s="105"/>
      <c r="E83" s="105"/>
      <c r="F83" s="105"/>
      <c r="G83" s="105"/>
      <c r="H83" s="105"/>
      <c r="K83" s="26"/>
      <c r="L83" s="5"/>
      <c r="M83" s="6" t="e">
        <f>IF(AND(ch_nb_lots_connaissance&gt;1,ch_connaissance=ch_oui),IF(#REF!+#REF!&gt;0,1,0),0)</f>
        <v>#REF!</v>
      </c>
      <c r="N83" s="30"/>
      <c r="O83" s="2"/>
    </row>
    <row r="84" spans="2:15" s="3" customFormat="1" ht="18" customHeight="1" x14ac:dyDescent="0.3">
      <c r="C84" s="106"/>
      <c r="D84" s="106"/>
      <c r="E84" s="106"/>
      <c r="F84" s="106"/>
      <c r="G84" s="106"/>
      <c r="H84" s="106"/>
      <c r="K84" s="16"/>
      <c r="L84" s="5"/>
      <c r="M84" s="6" t="e">
        <f>IF(AND(ch_nb_lots_connaissance&gt;1,ch_connaissance=ch_oui),IF(#REF!+#REF!&gt;0,1,0),0)</f>
        <v>#REF!</v>
      </c>
      <c r="N84" s="30"/>
      <c r="O84" s="2"/>
    </row>
    <row r="85" spans="2:15" s="3" customFormat="1" ht="18" customHeight="1" x14ac:dyDescent="0.35">
      <c r="B85" s="78" t="s">
        <v>89</v>
      </c>
      <c r="K85" s="16"/>
      <c r="L85" s="5"/>
      <c r="M85" s="6" t="e">
        <f>IF(AND(ch_nb_lots_connaissance&gt;1,ch_connaissance=ch_oui),IF(#REF!+#REF!&gt;0,1,0),0)</f>
        <v>#REF!</v>
      </c>
      <c r="N85" s="30"/>
      <c r="O85" s="2"/>
    </row>
    <row r="86" spans="2:15" s="3" customFormat="1" ht="18" customHeight="1" x14ac:dyDescent="0.35">
      <c r="K86" s="16"/>
      <c r="L86" s="5"/>
      <c r="M86" s="6" t="e">
        <f>IF(AND(ch_nb_lots_connaissance&gt;1,ch_connaissance=ch_oui),IF(#REF!+#REF!&gt;0,1,0),0)</f>
        <v>#REF!</v>
      </c>
      <c r="N86" s="30"/>
      <c r="O86" s="2"/>
    </row>
    <row r="87" spans="2:15" s="3" customFormat="1" ht="42" x14ac:dyDescent="0.35">
      <c r="B87" s="96" t="s">
        <v>56</v>
      </c>
      <c r="C87" s="97"/>
      <c r="D87" s="97"/>
      <c r="E87" s="97"/>
      <c r="F87" s="98"/>
      <c r="G87" s="79" t="s">
        <v>57</v>
      </c>
      <c r="H87" s="13" t="s">
        <v>58</v>
      </c>
      <c r="K87" s="16"/>
      <c r="L87" s="5"/>
      <c r="M87" s="6" t="e">
        <f>IF(AND(ch_nb_lots_connaissance&gt;1,ch_connaissance=ch_oui),IF(#REF!+#REF!&gt;0,1,0),0)</f>
        <v>#REF!</v>
      </c>
      <c r="N87" s="30"/>
      <c r="O87" s="2"/>
    </row>
    <row r="88" spans="2:15" s="3" customFormat="1" ht="18" customHeight="1" x14ac:dyDescent="0.35">
      <c r="B88" s="153" t="s">
        <v>107</v>
      </c>
      <c r="C88" s="107"/>
      <c r="D88" s="107"/>
      <c r="E88" s="107"/>
      <c r="F88" s="108"/>
      <c r="G88" s="169">
        <f>G52</f>
        <v>0</v>
      </c>
      <c r="H88" s="169">
        <f>H52</f>
        <v>0</v>
      </c>
      <c r="K88" s="16"/>
      <c r="L88" s="5"/>
      <c r="M88" s="6" t="e">
        <f>IF(AND(ch_nb_lots_connaissance&gt;1,ch_connaissance=ch_oui),IF(#REF!+#REF!&gt;0,1,0),0)</f>
        <v>#REF!</v>
      </c>
      <c r="N88" s="30"/>
      <c r="O88" s="2"/>
    </row>
    <row r="89" spans="2:15" s="3" customFormat="1" ht="18" customHeight="1" x14ac:dyDescent="0.35">
      <c r="B89" s="154" t="s">
        <v>108</v>
      </c>
      <c r="C89" s="109"/>
      <c r="D89" s="109"/>
      <c r="E89" s="109"/>
      <c r="F89" s="110"/>
      <c r="G89" s="170">
        <f>G77</f>
        <v>0</v>
      </c>
      <c r="H89" s="170">
        <f>H77</f>
        <v>0</v>
      </c>
      <c r="K89" s="16"/>
      <c r="L89" s="5"/>
      <c r="M89" s="6" t="e">
        <f>IF(AND(ch_nb_lots_connaissance&gt;1,ch_connaissance=ch_oui),IF(#REF!+#REF!&gt;0,1,0),0)</f>
        <v>#REF!</v>
      </c>
      <c r="N89" s="30"/>
      <c r="O89" s="2"/>
    </row>
    <row r="90" spans="2:15" s="3" customFormat="1" ht="18" customHeight="1" x14ac:dyDescent="0.35">
      <c r="B90" s="164"/>
      <c r="C90" s="168" t="s">
        <v>127</v>
      </c>
      <c r="D90" s="165"/>
      <c r="E90" s="165"/>
      <c r="F90" s="166"/>
      <c r="G90" s="167">
        <f>SUM(G58:G63)</f>
        <v>0</v>
      </c>
      <c r="H90" s="167">
        <f>SUM(H58:H63)</f>
        <v>0</v>
      </c>
      <c r="K90" s="16"/>
      <c r="L90" s="5"/>
      <c r="M90" s="6"/>
      <c r="N90" s="30"/>
      <c r="O90" s="2"/>
    </row>
    <row r="91" spans="2:15" s="3" customFormat="1" ht="18" customHeight="1" x14ac:dyDescent="0.35">
      <c r="B91" s="164"/>
      <c r="C91" s="168" t="s">
        <v>128</v>
      </c>
      <c r="D91" s="165"/>
      <c r="E91" s="165"/>
      <c r="F91" s="166"/>
      <c r="G91" s="167">
        <f>SUM(G64:G67)</f>
        <v>0</v>
      </c>
      <c r="H91" s="167">
        <f>SUM(H64:H67)</f>
        <v>0</v>
      </c>
      <c r="K91" s="16"/>
      <c r="L91" s="5"/>
      <c r="M91" s="6"/>
      <c r="N91" s="30"/>
      <c r="O91" s="2"/>
    </row>
    <row r="92" spans="2:15" s="3" customFormat="1" ht="18" customHeight="1" x14ac:dyDescent="0.35">
      <c r="B92" s="164"/>
      <c r="C92" s="168" t="s">
        <v>129</v>
      </c>
      <c r="D92" s="165"/>
      <c r="E92" s="165"/>
      <c r="F92" s="166"/>
      <c r="G92" s="167">
        <f>SUM(G73)</f>
        <v>0</v>
      </c>
      <c r="H92" s="167">
        <f>SUM(H73)</f>
        <v>0</v>
      </c>
      <c r="K92" s="16"/>
      <c r="L92" s="5"/>
      <c r="M92" s="6"/>
      <c r="N92" s="30"/>
      <c r="O92" s="2"/>
    </row>
    <row r="93" spans="2:15" s="3" customFormat="1" ht="18" customHeight="1" x14ac:dyDescent="0.35">
      <c r="B93" s="164"/>
      <c r="C93" s="168" t="s">
        <v>130</v>
      </c>
      <c r="D93" s="165"/>
      <c r="E93" s="165"/>
      <c r="F93" s="166"/>
      <c r="G93" s="167">
        <f>SUM(G72)</f>
        <v>0</v>
      </c>
      <c r="H93" s="167">
        <f>SUM(H72)</f>
        <v>0</v>
      </c>
      <c r="K93" s="16"/>
      <c r="L93" s="5"/>
      <c r="M93" s="6"/>
      <c r="N93" s="30"/>
      <c r="O93" s="2"/>
    </row>
    <row r="94" spans="2:15" s="3" customFormat="1" ht="18" customHeight="1" x14ac:dyDescent="0.35">
      <c r="B94" s="164"/>
      <c r="C94" s="168" t="s">
        <v>131</v>
      </c>
      <c r="D94" s="165"/>
      <c r="E94" s="165"/>
      <c r="F94" s="166"/>
      <c r="G94" s="167">
        <f>G74</f>
        <v>0</v>
      </c>
      <c r="H94" s="167">
        <f>H74</f>
        <v>0</v>
      </c>
      <c r="K94" s="16"/>
      <c r="L94" s="5"/>
      <c r="M94" s="6"/>
      <c r="N94" s="30"/>
      <c r="O94" s="2"/>
    </row>
    <row r="95" spans="2:15" s="3" customFormat="1" ht="18" customHeight="1" x14ac:dyDescent="0.35">
      <c r="B95" s="164"/>
      <c r="C95" s="168" t="s">
        <v>132</v>
      </c>
      <c r="D95" s="165"/>
      <c r="E95" s="165"/>
      <c r="F95" s="166"/>
      <c r="G95" s="167">
        <f>SUM(G75:G76)</f>
        <v>0</v>
      </c>
      <c r="H95" s="167">
        <f>SUM(H75:H76)</f>
        <v>0</v>
      </c>
      <c r="K95" s="16"/>
      <c r="L95" s="5"/>
      <c r="M95" s="6"/>
      <c r="N95" s="30"/>
      <c r="O95" s="2"/>
    </row>
    <row r="96" spans="2:15" s="3" customFormat="1" ht="28" x14ac:dyDescent="0.35">
      <c r="B96" s="85" t="s">
        <v>71</v>
      </c>
      <c r="C96" s="86"/>
      <c r="D96" s="86"/>
      <c r="E96" s="86"/>
      <c r="F96" s="87"/>
      <c r="G96" s="171">
        <f>SUM(G88:G89)</f>
        <v>0</v>
      </c>
      <c r="H96" s="171">
        <f>SUM(H88:H89)</f>
        <v>0</v>
      </c>
      <c r="K96" s="16"/>
      <c r="L96" s="5"/>
      <c r="M96" s="6" t="e">
        <f>IF(AND(ch_nb_lots_connaissance&gt;1,ch_connaissance=ch_oui),IF(#REF!+#REF!&gt;0,1,0),0)</f>
        <v>#REF!</v>
      </c>
      <c r="N96" s="30"/>
      <c r="O96" s="2"/>
    </row>
    <row r="97" spans="2:15" s="3" customFormat="1" ht="18" customHeight="1" x14ac:dyDescent="0.35">
      <c r="K97" s="26"/>
      <c r="L97" s="5"/>
      <c r="M97" s="6" t="e">
        <f>IF(AND(ch_nb_lots_connaissance&gt;1,ch_connaissance=ch_oui),IF(#REF!+#REF!&gt;0,1,0),0)</f>
        <v>#REF!</v>
      </c>
      <c r="N97" s="30"/>
      <c r="O97" s="2"/>
    </row>
    <row r="98" spans="2:15" s="3" customFormat="1" ht="18" customHeight="1" x14ac:dyDescent="0.35">
      <c r="K98" s="16"/>
      <c r="L98" s="5"/>
      <c r="M98" s="6" t="e">
        <f>IF(AND(ch_nb_lots_connaissance&gt;1,ch_connaissance=ch_oui),IF(#REF!+#REF!&gt;0,1,0),0)</f>
        <v>#REF!</v>
      </c>
      <c r="N98" s="12" t="e">
        <f>IF(O98="",0,1)</f>
        <v>#REF!</v>
      </c>
      <c r="O98" s="2" t="e">
        <f>IF(AND(ch_connaissance=ch_oui,ch_nb_lots_connaissance&gt;1,#REF!=ch_connexe_forf,OR(#REF!&gt;25%,IFERROR(#REF!/(#REF!+#REF!+#REF!),0)&gt;25%)),"Les charges connexes forfaitaires ne peuvent pas être supérieures à 25%","")</f>
        <v>#REF!</v>
      </c>
    </row>
    <row r="99" spans="2:15" s="3" customFormat="1" ht="18" customHeight="1" x14ac:dyDescent="0.35">
      <c r="B99" s="111" t="s">
        <v>109</v>
      </c>
      <c r="C99" s="112"/>
      <c r="D99" s="112"/>
      <c r="E99" s="112"/>
      <c r="F99" s="112"/>
      <c r="G99" s="112"/>
      <c r="H99" s="112"/>
      <c r="K99" s="26"/>
      <c r="L99" s="5"/>
      <c r="M99" s="6" t="e">
        <f>IF(AND(ch_nb_lots_connaissance&gt;1,ch_connaissance=ch_oui),IF(#REF!+#REF!&gt;0,1,0),0)</f>
        <v>#REF!</v>
      </c>
      <c r="N99" s="30"/>
      <c r="O99" s="2"/>
    </row>
    <row r="100" spans="2:15" s="3" customFormat="1" ht="18" customHeight="1" x14ac:dyDescent="0.35">
      <c r="K100" s="26"/>
      <c r="L100" s="5"/>
      <c r="M100" s="6" t="e">
        <f>IF(AND(ch_nb_lots_connaissance&gt;1,ch_connaissance=ch_oui),1,0)</f>
        <v>#REF!</v>
      </c>
      <c r="N100" s="30"/>
      <c r="O100" s="2"/>
    </row>
    <row r="101" spans="2:15" s="3" customFormat="1" ht="18" customHeight="1" x14ac:dyDescent="0.35">
      <c r="B101" s="128" t="s">
        <v>74</v>
      </c>
      <c r="K101" s="4"/>
      <c r="L101" s="5"/>
      <c r="M101" s="6" t="e">
        <f>IF(AND(ch_nb_lots_connaissance&gt;1,ch_connaissance=ch_oui),1,0)</f>
        <v>#REF!</v>
      </c>
      <c r="N101" s="30"/>
      <c r="O101" s="2"/>
    </row>
    <row r="102" spans="2:15" s="3" customFormat="1" ht="18" customHeight="1" x14ac:dyDescent="0.35">
      <c r="K102" s="77"/>
      <c r="L102" s="5"/>
      <c r="M102" s="6" t="e">
        <f>IF(AND(ch_nb_lots_connaissance&gt;1,ch_connaissance=ch_oui),IF(#REF!+#REF!&gt;0,1,0),0)</f>
        <v>#REF!</v>
      </c>
      <c r="N102" s="30"/>
      <c r="O102" s="2"/>
    </row>
    <row r="103" spans="2:15" s="3" customFormat="1" ht="18" customHeight="1" x14ac:dyDescent="0.3">
      <c r="B103" s="129"/>
      <c r="C103" s="130" t="s">
        <v>75</v>
      </c>
      <c r="D103" s="197" t="s">
        <v>76</v>
      </c>
      <c r="E103" s="198"/>
      <c r="F103" s="131" t="s">
        <v>77</v>
      </c>
      <c r="G103" s="129"/>
      <c r="H103" s="129"/>
      <c r="K103" s="4"/>
      <c r="L103" s="5"/>
      <c r="M103" s="6" t="e">
        <f>IF(AND(ch_nb_lots_connaissance&gt;1,ch_connaissance=ch_oui),IF(M72+M97+M83&gt;1,1,0),0)</f>
        <v>#REF!</v>
      </c>
      <c r="N103" s="30"/>
      <c r="O103" s="2"/>
    </row>
    <row r="104" spans="2:15" s="3" customFormat="1" ht="18" customHeight="1" x14ac:dyDescent="0.3">
      <c r="B104" s="129"/>
      <c r="C104" s="199" t="s">
        <v>78</v>
      </c>
      <c r="D104" s="202" t="s">
        <v>88</v>
      </c>
      <c r="E104" s="203"/>
      <c r="F104" s="137">
        <f>IF(C12="Non-économique",('Listes (masqué)'!$K$8*H88+'Listes (masqué)'!$K$9*H89),IF(AND(C12="Economique",F12="Grande"),('Listes (masqué)'!$J$8*H88+'Listes (masqué)'!$J$9*H89),IF(AND(C12="Economique",F12="Moyenne"),('Listes (masqué)'!$I$8*H88+'Listes (masqué)'!$I$9*H89),IF(AND(C12="Economique",F12="Petite"),('Listes (masqué)'!$H$8*H88+'Listes (masqué)'!$H$9*H89)))))</f>
        <v>0</v>
      </c>
      <c r="G104" s="129"/>
      <c r="H104" s="129"/>
      <c r="K104" s="4"/>
      <c r="L104" s="5"/>
      <c r="M104" s="6" t="e">
        <f>IF(AND(ch_nb_lots_connaissance&gt;1,ch_connaissance=ch_oui),1,0)</f>
        <v>#REF!</v>
      </c>
      <c r="N104" s="30"/>
      <c r="O104" s="2"/>
    </row>
    <row r="105" spans="2:15" s="3" customFormat="1" ht="18" customHeight="1" x14ac:dyDescent="0.3">
      <c r="B105" s="129"/>
      <c r="C105" s="200"/>
      <c r="D105" s="204" t="s">
        <v>79</v>
      </c>
      <c r="E105" s="205"/>
      <c r="F105" s="138"/>
      <c r="G105" s="129"/>
      <c r="H105" s="129"/>
      <c r="K105" s="4"/>
      <c r="L105" s="5"/>
      <c r="M105" s="6" t="e">
        <f>IF(AND(ch_nb_lots_connaissance=3,ch_connaissance=ch_oui),1,0)</f>
        <v>#REF!</v>
      </c>
      <c r="N105" s="30"/>
      <c r="O105" s="2"/>
    </row>
    <row r="106" spans="2:15" s="3" customFormat="1" ht="18" customHeight="1" x14ac:dyDescent="0.3">
      <c r="B106" s="129"/>
      <c r="C106" s="200"/>
      <c r="D106" s="204" t="s">
        <v>61</v>
      </c>
      <c r="E106" s="205"/>
      <c r="F106" s="138"/>
      <c r="G106" s="129"/>
      <c r="H106" s="129"/>
      <c r="K106" s="4"/>
      <c r="L106" s="5"/>
      <c r="M106" s="6" t="e">
        <f>IF(AND(ch_nb_lots_connaissance=3,ch_connaissance=ch_oui),1,0)</f>
        <v>#REF!</v>
      </c>
      <c r="N106" s="30"/>
      <c r="O106" s="2"/>
    </row>
    <row r="107" spans="2:15" s="3" customFormat="1" ht="18" customHeight="1" x14ac:dyDescent="0.3">
      <c r="B107" s="129"/>
      <c r="C107" s="200"/>
      <c r="D107" s="204" t="s">
        <v>61</v>
      </c>
      <c r="E107" s="205"/>
      <c r="F107" s="138"/>
      <c r="G107" s="129"/>
      <c r="H107" s="129"/>
      <c r="K107" s="14"/>
      <c r="L107" s="5"/>
      <c r="M107" s="6" t="e">
        <f>IF(AND(ch_nb_lots_connaissance=3,ch_connaissance=ch_oui),1,0)</f>
        <v>#REF!</v>
      </c>
      <c r="N107" s="12" t="e">
        <f>IF(O107="",0,1)</f>
        <v>#REF!</v>
      </c>
      <c r="O107" s="2" t="e">
        <f>IF(AND(ch_connaissance=ch_oui,ch_nb_lots_connaissance=3),IF(#REF!&gt;0,"","Veuillez saisir les coûts de l'opération"),"")</f>
        <v>#REF!</v>
      </c>
    </row>
    <row r="108" spans="2:15" s="3" customFormat="1" ht="18" customHeight="1" x14ac:dyDescent="0.3">
      <c r="B108" s="129"/>
      <c r="C108" s="200"/>
      <c r="D108" s="204" t="s">
        <v>61</v>
      </c>
      <c r="E108" s="205"/>
      <c r="F108" s="138"/>
      <c r="G108" s="129"/>
      <c r="H108" s="129"/>
      <c r="K108" s="16"/>
      <c r="L108" s="5"/>
      <c r="M108" s="6" t="e">
        <f>IF(AND(ch_nb_lots_connaissance=3,ch_connaissance=ch_oui),IF(#REF!+#REF!&gt;0,1,0),0)</f>
        <v>#REF!</v>
      </c>
      <c r="N108" s="30"/>
      <c r="O108" s="2"/>
    </row>
    <row r="109" spans="2:15" s="3" customFormat="1" ht="18" customHeight="1" x14ac:dyDescent="0.3">
      <c r="B109" s="129"/>
      <c r="C109" s="200"/>
      <c r="D109" s="204" t="s">
        <v>61</v>
      </c>
      <c r="E109" s="205"/>
      <c r="F109" s="138"/>
      <c r="G109" s="129"/>
      <c r="H109" s="129"/>
      <c r="K109" s="16"/>
      <c r="L109" s="5"/>
      <c r="M109" s="6" t="e">
        <f>IF(AND(ch_nb_lots_connaissance=3,ch_connaissance=ch_oui),IF(#REF!+#REF!&gt;0,1,0),0)</f>
        <v>#REF!</v>
      </c>
      <c r="N109" s="30"/>
      <c r="O109" s="2"/>
    </row>
    <row r="110" spans="2:15" s="3" customFormat="1" ht="18" customHeight="1" x14ac:dyDescent="0.3">
      <c r="B110" s="129"/>
      <c r="C110" s="200"/>
      <c r="D110" s="204" t="s">
        <v>61</v>
      </c>
      <c r="E110" s="205"/>
      <c r="F110" s="138"/>
      <c r="G110" s="129"/>
      <c r="H110" s="129"/>
      <c r="K110" s="16"/>
      <c r="L110" s="5"/>
      <c r="M110" s="6" t="e">
        <f>IF(AND(ch_nb_lots_connaissance=3,ch_connaissance=ch_oui),IF(#REF!+#REF!&gt;0,1,0),0)</f>
        <v>#REF!</v>
      </c>
      <c r="N110" s="30"/>
      <c r="O110" s="2"/>
    </row>
    <row r="111" spans="2:15" s="3" customFormat="1" ht="18" customHeight="1" x14ac:dyDescent="0.3">
      <c r="B111" s="129"/>
      <c r="C111" s="201"/>
      <c r="D111" s="206" t="str">
        <f>"Sous-total "&amp;C104</f>
        <v>Sous-total Aides publiques</v>
      </c>
      <c r="E111" s="207"/>
      <c r="F111" s="139">
        <f>SUM(F104:F110)</f>
        <v>0</v>
      </c>
      <c r="G111" s="129"/>
      <c r="H111" s="129"/>
      <c r="K111" s="16"/>
      <c r="L111" s="5"/>
      <c r="M111" s="6" t="e">
        <f>IF(AND(ch_nb_lots_connaissance=3,ch_connaissance=ch_oui),IF(#REF!+#REF!&gt;0,1,0),0)</f>
        <v>#REF!</v>
      </c>
      <c r="N111" s="30"/>
      <c r="O111" s="2"/>
    </row>
    <row r="112" spans="2:15" s="3" customFormat="1" ht="18" customHeight="1" x14ac:dyDescent="0.3">
      <c r="B112" s="129"/>
      <c r="C112" s="199" t="s">
        <v>80</v>
      </c>
      <c r="D112" s="208" t="s">
        <v>81</v>
      </c>
      <c r="E112" s="209"/>
      <c r="F112" s="138"/>
      <c r="G112" s="129"/>
      <c r="H112" s="129"/>
      <c r="K112" s="16"/>
      <c r="L112" s="5"/>
      <c r="M112" s="6" t="e">
        <f>IF(AND(ch_nb_lots_connaissance=3,ch_connaissance=ch_oui),IF(#REF!+#REF!&gt;0,1,0),0)</f>
        <v>#REF!</v>
      </c>
      <c r="N112" s="30"/>
      <c r="O112" s="2"/>
    </row>
    <row r="113" spans="2:15" s="3" customFormat="1" ht="18" customHeight="1" x14ac:dyDescent="0.3">
      <c r="B113" s="129"/>
      <c r="C113" s="200"/>
      <c r="D113" s="204" t="s">
        <v>61</v>
      </c>
      <c r="E113" s="205"/>
      <c r="F113" s="138"/>
      <c r="G113" s="129"/>
      <c r="H113" s="129"/>
      <c r="K113" s="16"/>
      <c r="L113" s="5"/>
      <c r="M113" s="6" t="e">
        <f>IF(AND(ch_nb_lots_connaissance=3,ch_connaissance=ch_oui),IF(#REF!+#REF!&gt;0,1,0),0)</f>
        <v>#REF!</v>
      </c>
      <c r="N113" s="30"/>
      <c r="O113" s="2"/>
    </row>
    <row r="114" spans="2:15" s="3" customFormat="1" ht="18" customHeight="1" x14ac:dyDescent="0.3">
      <c r="B114" s="129"/>
      <c r="C114" s="200"/>
      <c r="D114" s="204" t="s">
        <v>61</v>
      </c>
      <c r="E114" s="205"/>
      <c r="F114" s="138"/>
      <c r="G114" s="129"/>
      <c r="H114" s="129"/>
      <c r="K114" s="16"/>
      <c r="L114" s="5"/>
      <c r="M114" s="6" t="e">
        <f>IF(AND(ch_nb_lots_connaissance=3,ch_connaissance=ch_oui),IF(#REF!+#REF!&gt;0,1,0),0)</f>
        <v>#REF!</v>
      </c>
      <c r="N114" s="30"/>
      <c r="O114" s="2"/>
    </row>
    <row r="115" spans="2:15" s="3" customFormat="1" ht="18" customHeight="1" x14ac:dyDescent="0.3">
      <c r="B115" s="129"/>
      <c r="C115" s="200"/>
      <c r="D115" s="204" t="s">
        <v>61</v>
      </c>
      <c r="E115" s="205"/>
      <c r="F115" s="138"/>
      <c r="G115" s="129"/>
      <c r="H115" s="129"/>
      <c r="K115" s="16"/>
      <c r="L115" s="5"/>
      <c r="M115" s="6" t="e">
        <f>IF(AND(ch_nb_lots_connaissance=3,ch_connaissance=ch_oui),IF(#REF!+#REF!&gt;0,1,0),0)</f>
        <v>#REF!</v>
      </c>
      <c r="N115" s="30"/>
      <c r="O115" s="2"/>
    </row>
    <row r="116" spans="2:15" s="3" customFormat="1" ht="18" customHeight="1" x14ac:dyDescent="0.3">
      <c r="B116" s="129"/>
      <c r="C116" s="200"/>
      <c r="D116" s="204" t="s">
        <v>61</v>
      </c>
      <c r="E116" s="205"/>
      <c r="F116" s="138"/>
      <c r="G116" s="129"/>
      <c r="H116" s="129"/>
      <c r="K116" s="16"/>
      <c r="L116" s="5"/>
      <c r="M116" s="6" t="e">
        <f>IF(AND(ch_nb_lots_connaissance=3,ch_connaissance=ch_oui),IF(#REF!+#REF!&gt;0,1,0),0)</f>
        <v>#REF!</v>
      </c>
      <c r="N116" s="30"/>
      <c r="O116" s="2"/>
    </row>
    <row r="117" spans="2:15" s="3" customFormat="1" ht="18" customHeight="1" x14ac:dyDescent="0.3">
      <c r="B117" s="129"/>
      <c r="C117" s="200"/>
      <c r="D117" s="204" t="s">
        <v>61</v>
      </c>
      <c r="E117" s="205"/>
      <c r="F117" s="138"/>
      <c r="G117" s="129"/>
      <c r="H117" s="129"/>
      <c r="K117" s="16"/>
      <c r="L117" s="5"/>
      <c r="M117" s="6" t="e">
        <f>IF(AND(ch_nb_lots_connaissance=3,ch_connaissance=ch_oui),IF(#REF!+#REF!&gt;0,1,0),0)</f>
        <v>#REF!</v>
      </c>
      <c r="N117" s="30"/>
      <c r="O117" s="2"/>
    </row>
    <row r="118" spans="2:15" s="3" customFormat="1" ht="18" customHeight="1" x14ac:dyDescent="0.3">
      <c r="B118" s="129"/>
      <c r="C118" s="200"/>
      <c r="D118" s="204" t="s">
        <v>61</v>
      </c>
      <c r="E118" s="205"/>
      <c r="F118" s="138"/>
      <c r="G118" s="129"/>
      <c r="H118" s="129"/>
      <c r="K118" s="26"/>
      <c r="L118" s="5"/>
      <c r="M118" s="6" t="e">
        <f>IF(AND(ch_nb_lots_connaissance=3,ch_connaissance=ch_oui),IF(#REF!+#REF!&gt;0,1,0),0)</f>
        <v>#REF!</v>
      </c>
      <c r="N118" s="30"/>
      <c r="O118" s="2"/>
    </row>
    <row r="119" spans="2:15" s="3" customFormat="1" ht="18" customHeight="1" x14ac:dyDescent="0.3">
      <c r="B119" s="129"/>
      <c r="C119" s="201"/>
      <c r="D119" s="206" t="str">
        <f>"Sous-total "&amp;C112</f>
        <v>Sous-total Aides privées</v>
      </c>
      <c r="E119" s="207"/>
      <c r="F119" s="139">
        <f>SUM(F112:F118)</f>
        <v>0</v>
      </c>
      <c r="G119" s="129"/>
      <c r="H119" s="129"/>
      <c r="K119" s="16"/>
      <c r="L119" s="5"/>
      <c r="M119" s="6" t="e">
        <f>IF(AND(ch_nb_lots_connaissance=3,ch_connaissance=ch_oui),IF(#REF!+#REF!&gt;0,1,0),0)</f>
        <v>#REF!</v>
      </c>
      <c r="N119" s="30"/>
      <c r="O119" s="2"/>
    </row>
    <row r="120" spans="2:15" s="3" customFormat="1" ht="18" customHeight="1" x14ac:dyDescent="0.3">
      <c r="B120" s="129"/>
      <c r="C120" s="199" t="s">
        <v>82</v>
      </c>
      <c r="D120" s="211" t="s">
        <v>83</v>
      </c>
      <c r="E120" s="212"/>
      <c r="F120" s="140">
        <f>F125-F111-F119-F121-F122-F123</f>
        <v>0</v>
      </c>
      <c r="G120" s="129"/>
      <c r="H120" s="129"/>
      <c r="K120" s="16"/>
      <c r="L120" s="5"/>
      <c r="M120" s="6" t="e">
        <f>IF(AND(ch_nb_lots_connaissance=3,ch_connaissance=ch_oui),IF(#REF!+#REF!&gt;0,1,0),0)</f>
        <v>#REF!</v>
      </c>
      <c r="N120" s="30"/>
      <c r="O120" s="2"/>
    </row>
    <row r="121" spans="2:15" s="3" customFormat="1" ht="18" customHeight="1" x14ac:dyDescent="0.3">
      <c r="B121" s="129"/>
      <c r="C121" s="200"/>
      <c r="D121" s="204" t="s">
        <v>84</v>
      </c>
      <c r="E121" s="205"/>
      <c r="F121" s="138"/>
      <c r="G121" s="129"/>
      <c r="H121" s="129"/>
      <c r="K121" s="16"/>
      <c r="L121" s="5"/>
      <c r="M121" s="6" t="e">
        <f>IF(AND(ch_nb_lots_connaissance=3,ch_connaissance=ch_oui),IF(#REF!+#REF!&gt;0,1,0),0)</f>
        <v>#REF!</v>
      </c>
      <c r="N121" s="30"/>
      <c r="O121" s="2"/>
    </row>
    <row r="122" spans="2:15" s="3" customFormat="1" ht="18" customHeight="1" x14ac:dyDescent="0.3">
      <c r="B122" s="129"/>
      <c r="C122" s="200"/>
      <c r="D122" s="204" t="s">
        <v>85</v>
      </c>
      <c r="E122" s="205"/>
      <c r="F122" s="138"/>
      <c r="G122" s="129"/>
      <c r="H122" s="129"/>
      <c r="K122" s="16"/>
      <c r="L122" s="5"/>
      <c r="M122" s="6" t="e">
        <f>IF(AND(ch_nb_lots_connaissance=3,ch_connaissance=ch_oui),IF(#REF!+#REF!&gt;0,1,0),0)</f>
        <v>#REF!</v>
      </c>
      <c r="N122" s="30"/>
      <c r="O122" s="2"/>
    </row>
    <row r="123" spans="2:15" s="3" customFormat="1" ht="18" customHeight="1" x14ac:dyDescent="0.3">
      <c r="B123" s="129"/>
      <c r="C123" s="200"/>
      <c r="D123" s="204" t="s">
        <v>61</v>
      </c>
      <c r="E123" s="205"/>
      <c r="F123" s="138"/>
      <c r="G123" s="129"/>
      <c r="H123" s="129"/>
      <c r="K123" s="16"/>
      <c r="L123" s="5"/>
      <c r="M123" s="6" t="e">
        <f>IF(AND(ch_nb_lots_connaissance=3,ch_connaissance=ch_oui),IF(#REF!+#REF!&gt;0,1,0),0)</f>
        <v>#REF!</v>
      </c>
      <c r="N123" s="30"/>
      <c r="O123" s="2"/>
    </row>
    <row r="124" spans="2:15" s="3" customFormat="1" ht="18" customHeight="1" x14ac:dyDescent="0.3">
      <c r="B124" s="129"/>
      <c r="C124" s="201"/>
      <c r="D124" s="213" t="str">
        <f>"Sous-total "&amp;C120</f>
        <v>Sous-total Autofinancement</v>
      </c>
      <c r="E124" s="214"/>
      <c r="F124" s="139">
        <f>SUM(F120:F123)</f>
        <v>0</v>
      </c>
      <c r="G124" s="129"/>
      <c r="H124" s="129"/>
      <c r="K124" s="16"/>
      <c r="L124" s="5"/>
      <c r="M124" s="6" t="e">
        <f>IF(AND(ch_nb_lots_connaissance=3,ch_connaissance=ch_oui),IF(#REF!+#REF!&gt;0,1,0),0)</f>
        <v>#REF!</v>
      </c>
      <c r="N124" s="30"/>
      <c r="O124" s="2"/>
    </row>
    <row r="125" spans="2:15" s="3" customFormat="1" ht="18" customHeight="1" x14ac:dyDescent="0.3">
      <c r="B125" s="129"/>
      <c r="C125" s="197" t="s">
        <v>9</v>
      </c>
      <c r="D125" s="210"/>
      <c r="E125" s="198"/>
      <c r="F125" s="141">
        <f>E7</f>
        <v>0</v>
      </c>
      <c r="G125" s="129"/>
      <c r="H125" s="129"/>
      <c r="K125" s="16"/>
      <c r="L125" s="5"/>
      <c r="M125" s="6" t="e">
        <f>IF(AND(ch_nb_lots_connaissance=3,ch_connaissance=ch_oui),IF(#REF!+#REF!&gt;0,1,0),0)</f>
        <v>#REF!</v>
      </c>
      <c r="N125" s="30"/>
      <c r="O125" s="2"/>
    </row>
    <row r="126" spans="2:15" s="3" customFormat="1" ht="18" customHeight="1" x14ac:dyDescent="0.35">
      <c r="B126" s="129"/>
      <c r="C126" s="129"/>
      <c r="D126" s="129"/>
      <c r="E126" s="129"/>
      <c r="F126" s="129"/>
      <c r="G126" s="129"/>
      <c r="H126" s="129"/>
      <c r="K126" s="16"/>
      <c r="L126" s="5"/>
      <c r="M126" s="6" t="e">
        <f>IF(AND(ch_nb_lots_connaissance=3,ch_connaissance=ch_oui),IF(#REF!+#REF!&gt;0,1,0),0)</f>
        <v>#REF!</v>
      </c>
      <c r="N126" s="30"/>
      <c r="O126" s="2"/>
    </row>
    <row r="127" spans="2:15" s="3" customFormat="1" ht="18" customHeight="1" x14ac:dyDescent="0.35">
      <c r="B127" s="128" t="s">
        <v>86</v>
      </c>
      <c r="K127" s="26"/>
      <c r="L127" s="5"/>
      <c r="M127" s="6" t="e">
        <f>IF(AND(ch_nb_lots_connaissance=3,ch_connaissance=ch_oui),IF(#REF!+#REF!&gt;0,1,0),0)</f>
        <v>#REF!</v>
      </c>
      <c r="N127" s="30"/>
      <c r="O127" s="2"/>
    </row>
    <row r="128" spans="2:15" s="3" customFormat="1" ht="18" customHeight="1" x14ac:dyDescent="0.35">
      <c r="K128" s="16"/>
      <c r="L128" s="5"/>
      <c r="M128" s="6" t="e">
        <f>IF(AND(ch_nb_lots_connaissance=3,ch_connaissance=ch_oui),IF(#REF!+#REF!&gt;0,1,0),0)</f>
        <v>#REF!</v>
      </c>
      <c r="N128" s="30"/>
      <c r="O128" s="2"/>
    </row>
    <row r="129" spans="2:15" s="3" customFormat="1" ht="39" customHeight="1" x14ac:dyDescent="0.35">
      <c r="B129" s="196" t="s">
        <v>87</v>
      </c>
      <c r="C129" s="196"/>
      <c r="D129" s="196"/>
      <c r="E129" s="196"/>
      <c r="F129" s="196"/>
      <c r="G129" s="148"/>
      <c r="H129" s="148"/>
      <c r="K129" s="16"/>
      <c r="L129" s="5"/>
      <c r="M129" s="6" t="e">
        <f>IF(AND(ch_nb_lots_connaissance=3,ch_connaissance=ch_oui),IF(#REF!+#REF!&gt;0,1,0),0)</f>
        <v>#REF!</v>
      </c>
      <c r="N129" s="30"/>
      <c r="O129" s="2"/>
    </row>
    <row r="130" spans="2:15" s="3" customFormat="1" ht="18" customHeight="1" x14ac:dyDescent="0.35">
      <c r="K130" s="16"/>
      <c r="L130" s="5"/>
      <c r="M130" s="6" t="e">
        <f>IF(AND(ch_nb_lots_connaissance=3,ch_connaissance=ch_oui),IF(#REF!+#REF!&gt;0,1,0),0)</f>
        <v>#REF!</v>
      </c>
      <c r="N130" s="30"/>
      <c r="O130" s="2"/>
    </row>
    <row r="131" spans="2:15" s="3" customFormat="1" ht="31" customHeight="1" x14ac:dyDescent="0.35">
      <c r="B131" s="196" t="s">
        <v>110</v>
      </c>
      <c r="C131" s="196"/>
      <c r="D131" s="196"/>
      <c r="E131" s="196"/>
      <c r="F131" s="196"/>
      <c r="G131" s="148"/>
      <c r="H131" s="148"/>
      <c r="K131" s="16"/>
      <c r="L131" s="5"/>
      <c r="M131" s="6" t="e">
        <f>IF(AND(ch_nb_lots_connaissance=3,ch_connaissance=ch_oui),IF(#REF!+#REF!&gt;0,1,0),0)</f>
        <v>#REF!</v>
      </c>
      <c r="N131" s="30"/>
      <c r="O131" s="2"/>
    </row>
    <row r="132" spans="2:15" s="3" customFormat="1" ht="18" customHeight="1" x14ac:dyDescent="0.35">
      <c r="K132" s="16"/>
      <c r="L132" s="5"/>
      <c r="M132" s="6" t="e">
        <f>IF(AND(ch_nb_lots_connaissance=3,ch_connaissance=ch_oui),IF(#REF!+#REF!&gt;0,1,0),0)</f>
        <v>#REF!</v>
      </c>
      <c r="N132" s="30"/>
      <c r="O132" s="2"/>
    </row>
    <row r="133" spans="2:15" s="3" customFormat="1" ht="18" customHeight="1" x14ac:dyDescent="0.35">
      <c r="K133" s="16"/>
      <c r="L133" s="5"/>
      <c r="M133" s="6" t="e">
        <f>IF(AND(ch_chg=ch_oui,OR(ch_type_actions=ch_form_com,ch_type_actions=ch_anim_form_com)),1,0)</f>
        <v>#REF!</v>
      </c>
      <c r="N133" s="30"/>
      <c r="O133" s="22"/>
    </row>
    <row r="134" spans="2:15" s="3" customFormat="1" ht="18" customHeight="1" x14ac:dyDescent="0.35">
      <c r="K134" s="26"/>
      <c r="L134" s="5"/>
      <c r="M134" s="6">
        <v>1</v>
      </c>
      <c r="N134" s="30"/>
      <c r="O134" s="24" t="e">
        <f>IF(ch_connaissance=ch_oui,#REF!,0)+IF(ch_decision=ch_oui,#REF!,0)+IF(ch_inv=ch_oui,#REF!,0)</f>
        <v>#REF!</v>
      </c>
    </row>
    <row r="135" spans="2:15" s="3" customFormat="1" ht="18" customHeight="1" x14ac:dyDescent="0.35">
      <c r="K135" s="4"/>
      <c r="L135" s="5"/>
      <c r="M135" s="6">
        <v>1</v>
      </c>
      <c r="N135" s="30"/>
      <c r="O135" s="2"/>
    </row>
    <row r="136" spans="2:15" s="3" customFormat="1" ht="18" customHeight="1" x14ac:dyDescent="0.35">
      <c r="K136" s="31"/>
      <c r="L136" s="5"/>
      <c r="M136" s="6">
        <v>1</v>
      </c>
      <c r="N136" s="30"/>
      <c r="O136" s="2"/>
    </row>
    <row r="137" spans="2:15" s="3" customFormat="1" ht="18" customHeight="1" x14ac:dyDescent="0.35">
      <c r="K137" s="4"/>
      <c r="L137" s="5"/>
      <c r="M137" s="6">
        <v>1</v>
      </c>
      <c r="N137" s="30"/>
      <c r="O137" s="2"/>
    </row>
    <row r="138" spans="2:15" s="3" customFormat="1" ht="18" customHeight="1" x14ac:dyDescent="0.35">
      <c r="K138" s="4"/>
      <c r="L138" s="5"/>
      <c r="M138" s="6" t="e">
        <f>IF(ch_connaissance=ch_oui,1,0)</f>
        <v>#REF!</v>
      </c>
      <c r="N138" s="30"/>
      <c r="O138" s="2"/>
    </row>
    <row r="139" spans="2:15" s="3" customFormat="1" ht="18" customHeight="1" x14ac:dyDescent="0.35">
      <c r="K139" s="4"/>
      <c r="L139" s="5"/>
      <c r="M139" s="6" t="e">
        <f>IF(ch_connaissance=ch_oui,1,0)</f>
        <v>#REF!</v>
      </c>
      <c r="N139" s="30"/>
      <c r="O139" s="2"/>
    </row>
    <row r="140" spans="2:15" s="3" customFormat="1" ht="18" customHeight="1" x14ac:dyDescent="0.35">
      <c r="K140" s="4"/>
      <c r="L140" s="5"/>
      <c r="M140" s="6" t="e">
        <f>IF(ch_connaissance=ch_oui,1,0)</f>
        <v>#REF!</v>
      </c>
      <c r="N140" s="30"/>
      <c r="O140" s="2"/>
    </row>
    <row r="141" spans="2:15" s="3" customFormat="1" ht="18" customHeight="1" x14ac:dyDescent="0.35">
      <c r="K141" s="4"/>
      <c r="L141" s="5"/>
      <c r="M141" s="6" t="e">
        <f>IF(ch_connaissance=ch_oui,1,0)</f>
        <v>#REF!</v>
      </c>
      <c r="N141" s="30"/>
      <c r="O141" s="2"/>
    </row>
    <row r="142" spans="2:15" s="3" customFormat="1" ht="18" customHeight="1" x14ac:dyDescent="0.35">
      <c r="K142" s="4"/>
      <c r="L142" s="5"/>
      <c r="M142" s="6" t="e">
        <f>IF(AND(ch_connaissance=ch_oui,ch_nb_lots_connaissance&gt;1),1,0)</f>
        <v>#REF!</v>
      </c>
      <c r="N142" s="30"/>
      <c r="O142" s="2"/>
    </row>
    <row r="143" spans="2:15" s="3" customFormat="1" ht="18" customHeight="1" x14ac:dyDescent="0.35">
      <c r="K143" s="4"/>
      <c r="L143" s="5"/>
      <c r="M143" s="6" t="e">
        <f>IF(AND(ch_connaissance=ch_oui,ch_nb_lots_connaissance&gt;2),1,0)</f>
        <v>#REF!</v>
      </c>
      <c r="N143" s="30"/>
      <c r="O143" s="2"/>
    </row>
    <row r="144" spans="2:15" s="3" customFormat="1" ht="18" customHeight="1" x14ac:dyDescent="0.35">
      <c r="K144" s="4"/>
      <c r="L144" s="5"/>
      <c r="M144" s="6" t="e">
        <f>IF(ch_connaissance=ch_oui,1,0)</f>
        <v>#REF!</v>
      </c>
      <c r="N144" s="30"/>
      <c r="O144" s="2"/>
    </row>
    <row r="145" spans="11:15" s="3" customFormat="1" ht="18" customHeight="1" x14ac:dyDescent="0.35">
      <c r="K145" s="4"/>
      <c r="L145" s="5"/>
      <c r="M145" s="6" t="e">
        <f>IF(ch_connaissance=ch_oui,1,0)</f>
        <v>#REF!</v>
      </c>
      <c r="N145" s="30"/>
      <c r="O145" s="2"/>
    </row>
    <row r="146" spans="11:15" s="3" customFormat="1" ht="18" customHeight="1" x14ac:dyDescent="0.35">
      <c r="K146" s="114" t="e">
        <f>IF(ch_connaissance&lt;&gt;ch_oui,0,IFERROR(#REF!*IFERROR(VLOOKUP(ch_type_recherche,[1]Parametres!$D$18:$H$22,IF(ch_nature_act2=ch_non_eco,5,IF(ch_taille=ch_pe,2,IF(ch_taille=ch_me,3,4))),FALSE),0),0)+IF(ch_nb_lots_connaissance&lt;2,0,IFERROR(#REF!*IFERROR(VLOOKUP(ch_type_recherche2,[1]Parametres!$D$18:$H$22,IF(ch_nature_act2=ch_non_eco,5,IF(ch_taille=ch_pe,2,IF(ch_taille=ch_me,3,4))),FALSE),0),0))+IF(ch_nb_lots_connaissance=3,0,IFERROR(#REF!*IFERROR(VLOOKUP(ch_type_recherche3,[1]Parametres!$D$18:$H$22,IF(ch_nature_act2=ch_non_eco,5,IF(ch_taille=ch_pe,2,IF(ch_taille=ch_me,3,4))),FALSE),0),0)))</f>
        <v>#REF!</v>
      </c>
      <c r="L146" s="5"/>
      <c r="M146" s="6" t="e">
        <f>IF(ch_connaissance=ch_oui,1,0)</f>
        <v>#REF!</v>
      </c>
      <c r="N146" s="30"/>
      <c r="O146" s="2"/>
    </row>
    <row r="147" spans="11:15" s="3" customFormat="1" ht="18" customHeight="1" x14ac:dyDescent="0.35">
      <c r="K147" s="115" t="e">
        <f>IF(ch_connaissance&lt;&gt;ch_oui,0,IFERROR(#REF!*IFERROR(VLOOKUP(ch_type_recherche,[1]Parametres!$D$41:$H$45,IF(ch_nature_act2=ch_non_eco,5,IF(ch_taille=ch_pe,2,IF(ch_taille=ch_me,3,4))),FALSE),0),0)+IF(ch_nb_lots_connaissance&lt;2,0,IFERROR(#REF!*IFERROR(VLOOKUP(ch_type_recherche2,[1]Parametres!$D$41:$H$45,IF(ch_nature_act2=ch_non_eco,5,IF(ch_taille=ch_pe,2,IF(ch_taille=ch_me,3,4))),FALSE),0),0))+IF(ch_nb_lots_connaissance=3,0,IFERROR(#REF!*IFERROR(VLOOKUP(ch_type_recherche3,[1]Parametres!$D$41:$H$45,IF(ch_nature_act2=ch_non_eco,5,IF(ch_taille=ch_pe,2,IF(ch_taille=ch_me,3,4))),FALSE),0),0)))</f>
        <v>#REF!</v>
      </c>
      <c r="L147" s="5"/>
      <c r="M147" s="6" t="e">
        <f>IF(ch_connaissance=ch_oui,IF(AND(#REF!=ch_oui,#REF!=ch_oui),1,0),0)</f>
        <v>#REF!</v>
      </c>
      <c r="N147" s="30"/>
      <c r="O147" s="2"/>
    </row>
    <row r="148" spans="11:15" s="3" customFormat="1" ht="18" customHeight="1" x14ac:dyDescent="0.35">
      <c r="K148" s="4"/>
      <c r="L148" s="5"/>
      <c r="M148" s="6" t="e">
        <f>IF(ch_connaissance=ch_oui,1,0)</f>
        <v>#REF!</v>
      </c>
      <c r="N148" s="30"/>
      <c r="O148" s="2"/>
    </row>
    <row r="149" spans="11:15" s="3" customFormat="1" ht="18" customHeight="1" x14ac:dyDescent="0.35">
      <c r="K149" s="4"/>
      <c r="L149" s="5"/>
      <c r="M149" s="6" t="e">
        <f>IF(ch_decision=ch_oui,1,0)</f>
        <v>#REF!</v>
      </c>
      <c r="N149" s="30"/>
      <c r="O149" s="2"/>
    </row>
    <row r="150" spans="11:15" s="3" customFormat="1" ht="18" customHeight="1" x14ac:dyDescent="0.35">
      <c r="K150" s="4"/>
      <c r="L150" s="5"/>
      <c r="M150" s="6" t="e">
        <f>IF(ch_decision=ch_oui,1,0)</f>
        <v>#REF!</v>
      </c>
      <c r="N150" s="30"/>
      <c r="O150" s="2"/>
    </row>
    <row r="151" spans="11:15" s="3" customFormat="1" ht="18" customHeight="1" x14ac:dyDescent="0.35">
      <c r="K151" s="117"/>
      <c r="M151" s="6" t="e">
        <f>IF(ch_decision=ch_oui,1,0)</f>
        <v>#REF!</v>
      </c>
      <c r="N151" s="30"/>
      <c r="O151" s="2"/>
    </row>
    <row r="152" spans="11:15" s="3" customFormat="1" ht="18" customHeight="1" x14ac:dyDescent="0.35">
      <c r="K152" s="117"/>
      <c r="M152" s="6" t="e">
        <f>IF(ch_decision=ch_oui,1,0)</f>
        <v>#REF!</v>
      </c>
      <c r="N152" s="30"/>
      <c r="O152" s="118" t="s">
        <v>72</v>
      </c>
    </row>
    <row r="153" spans="11:15" s="3" customFormat="1" ht="18" customHeight="1" x14ac:dyDescent="0.35">
      <c r="K153" s="92">
        <f>IFERROR(#REF!*IFERROR(IF(ch_nature_act2=ch_non_eco,[1]Parametres!$H$4,HLOOKUP(ch_taille,[1]Parametres!$E$3:$G$4,2,FALSE)),0),0)</f>
        <v>0</v>
      </c>
      <c r="M153" s="6" t="e">
        <f>#REF!</f>
        <v>#REF!</v>
      </c>
      <c r="N153" s="12">
        <f>IF(O153="",0,1)</f>
        <v>0</v>
      </c>
      <c r="O153" s="2"/>
    </row>
    <row r="154" spans="11:15" s="3" customFormat="1" ht="18" customHeight="1" x14ac:dyDescent="0.35">
      <c r="K154" s="92">
        <f>IFERROR(#REF!*IFERROR(IF(ch_nature_act2=ch_non_eco,[1]Parametres!$H$4,HLOOKUP(ch_taille,[1]Parametres!$E$3:$G$4,2,FALSE)),0),0)</f>
        <v>0</v>
      </c>
      <c r="M154" s="6" t="e">
        <f>#REF!</f>
        <v>#REF!</v>
      </c>
      <c r="N154" s="12"/>
      <c r="O154" s="2"/>
    </row>
    <row r="155" spans="11:15" s="3" customFormat="1" ht="18" customHeight="1" x14ac:dyDescent="0.35">
      <c r="K155" s="92">
        <f>IFERROR(#REF!*IFERROR(IF(ch_nature_act2=ch_non_eco,[1]Parametres!$H$4,HLOOKUP(ch_taille,[1]Parametres!$E$3:$G$4,2,FALSE)),0),0)</f>
        <v>0</v>
      </c>
      <c r="M155" s="6" t="e">
        <f>#REF!</f>
        <v>#REF!</v>
      </c>
      <c r="N155" s="12"/>
      <c r="O155" s="2"/>
    </row>
    <row r="156" spans="11:15" s="3" customFormat="1" ht="18" customHeight="1" x14ac:dyDescent="0.35">
      <c r="K156" s="92">
        <f>IFERROR(#REF!*IFERROR(IF(ch_nature_act2=ch_non_eco,[1]Parametres!$H$4,HLOOKUP(ch_taille,[1]Parametres!$E$3:$G$4,2,FALSE)),0),0)</f>
        <v>0</v>
      </c>
      <c r="M156" s="6" t="e">
        <f>#REF!</f>
        <v>#REF!</v>
      </c>
      <c r="N156" s="12"/>
      <c r="O156" s="2"/>
    </row>
    <row r="157" spans="11:15" s="3" customFormat="1" ht="18" customHeight="1" x14ac:dyDescent="0.35">
      <c r="K157" s="92">
        <f>IFERROR(#REF!*IFERROR(IF(ch_nature_act2=ch_non_eco,[1]Parametres!$H$4,HLOOKUP(ch_taille,[1]Parametres!$E$3:$G$4,2,FALSE)),0),0)</f>
        <v>0</v>
      </c>
      <c r="M157" s="6" t="e">
        <f>#REF!</f>
        <v>#REF!</v>
      </c>
      <c r="N157" s="12"/>
      <c r="O157" s="2"/>
    </row>
    <row r="158" spans="11:15" s="3" customFormat="1" ht="18" customHeight="1" x14ac:dyDescent="0.35">
      <c r="K158" s="92">
        <f>IFERROR(#REF!*IFERROR(IF(ch_nature_act2=ch_non_eco,[1]Parametres!$H$4,HLOOKUP(ch_taille,[1]Parametres!$E$3:$G$4,2,FALSE)),0),0)</f>
        <v>0</v>
      </c>
      <c r="M158" s="6" t="e">
        <f>#REF!</f>
        <v>#REF!</v>
      </c>
      <c r="N158" s="12"/>
      <c r="O158" s="2"/>
    </row>
    <row r="159" spans="11:15" s="3" customFormat="1" ht="18" customHeight="1" x14ac:dyDescent="0.35">
      <c r="K159" s="92">
        <f>IFERROR(#REF!*IFERROR(IF(ch_nature_act2=ch_non_eco,[1]Parametres!$H$4,HLOOKUP(ch_taille,[1]Parametres!$E$3:$G$4,2,FALSE)),0),0)</f>
        <v>0</v>
      </c>
      <c r="M159" s="6" t="e">
        <f>#REF!</f>
        <v>#REF!</v>
      </c>
      <c r="N159" s="12"/>
      <c r="O159" s="2"/>
    </row>
    <row r="160" spans="11:15" s="3" customFormat="1" ht="18" customHeight="1" x14ac:dyDescent="0.35">
      <c r="K160" s="92">
        <f>IFERROR(#REF!*IFERROR(IF(ch_nature_act2=ch_non_eco,[1]Parametres!$H$4,HLOOKUP(ch_taille,[1]Parametres!$E$3:$G$4,2,FALSE)),0),0)</f>
        <v>0</v>
      </c>
      <c r="M160" s="6" t="e">
        <f>#REF!</f>
        <v>#REF!</v>
      </c>
      <c r="N160" s="12"/>
      <c r="O160" s="2"/>
    </row>
    <row r="161" spans="11:15" s="3" customFormat="1" ht="18" customHeight="1" x14ac:dyDescent="0.35">
      <c r="K161" s="92">
        <f>IFERROR(#REF!*IFERROR(IF(ch_nature_act2=ch_non_eco,[1]Parametres!$H$4,HLOOKUP(ch_taille,[1]Parametres!$E$3:$G$4,2,FALSE)),0),0)</f>
        <v>0</v>
      </c>
      <c r="M161" s="6" t="e">
        <f>#REF!</f>
        <v>#REF!</v>
      </c>
      <c r="N161" s="12"/>
      <c r="O161" s="2"/>
    </row>
    <row r="162" spans="11:15" s="3" customFormat="1" ht="18" customHeight="1" x14ac:dyDescent="0.35">
      <c r="K162" s="92">
        <f>IFERROR(#REF!*IFERROR(IF(ch_nature_act2=ch_non_eco,[1]Parametres!$H$4,HLOOKUP(ch_taille,[1]Parametres!$E$3:$G$4,2,FALSE)),0),0)</f>
        <v>0</v>
      </c>
      <c r="M162" s="6" t="e">
        <f>#REF!</f>
        <v>#REF!</v>
      </c>
      <c r="N162" s="12"/>
      <c r="O162" s="2"/>
    </row>
    <row r="163" spans="11:15" s="3" customFormat="1" ht="18" customHeight="1" x14ac:dyDescent="0.35">
      <c r="K163" s="92"/>
      <c r="M163" s="6" t="e">
        <f>#REF!</f>
        <v>#REF!</v>
      </c>
      <c r="N163" s="12"/>
      <c r="O163" s="2"/>
    </row>
    <row r="164" spans="11:15" s="3" customFormat="1" ht="18" customHeight="1" x14ac:dyDescent="0.35">
      <c r="K164" s="92">
        <f>IFERROR(#REF!*IFERROR(IF(ch_nature_act2=ch_non_eco,[1]Parametres!$H$4,HLOOKUP(ch_taille,[1]Parametres!$E$3:$G$4,2,FALSE)),0),0)</f>
        <v>0</v>
      </c>
      <c r="M164" s="6" t="e">
        <f>#REF!</f>
        <v>#REF!</v>
      </c>
      <c r="N164" s="12" t="e">
        <f>IF(O164="",0,1)</f>
        <v>#REF!</v>
      </c>
      <c r="O164" s="2" t="e">
        <f>IF(AND(ch_decision=ch_oui,OR(ch_type_decision=ch_acc_projet,ch_type_decision=ch_diag_acc_projet),#REF!&gt;K164),"Intensité d'aide ADEME dépassée","")</f>
        <v>#REF!</v>
      </c>
    </row>
    <row r="165" spans="11:15" s="3" customFormat="1" ht="18" customHeight="1" x14ac:dyDescent="0.35">
      <c r="K165" s="92"/>
      <c r="M165" s="6" t="e">
        <f>#REF!</f>
        <v>#REF!</v>
      </c>
      <c r="N165" s="12"/>
      <c r="O165" s="2"/>
    </row>
    <row r="166" spans="11:15" s="3" customFormat="1" ht="18" customHeight="1" x14ac:dyDescent="0.35">
      <c r="K166" s="92"/>
      <c r="M166" s="6" t="e">
        <f>#REF!</f>
        <v>#REF!</v>
      </c>
      <c r="N166" s="12"/>
      <c r="O166" s="2"/>
    </row>
    <row r="167" spans="11:15" s="3" customFormat="1" ht="18" customHeight="1" x14ac:dyDescent="0.35">
      <c r="K167" s="92"/>
      <c r="M167" s="6" t="e">
        <f>#REF!</f>
        <v>#REF!</v>
      </c>
      <c r="N167" s="12"/>
      <c r="O167" s="2"/>
    </row>
    <row r="168" spans="11:15" s="3" customFormat="1" ht="18" customHeight="1" x14ac:dyDescent="0.35">
      <c r="K168" s="92"/>
      <c r="M168" s="6" t="e">
        <f>#REF!</f>
        <v>#REF!</v>
      </c>
      <c r="N168" s="12"/>
      <c r="O168" s="2"/>
    </row>
    <row r="169" spans="11:15" s="3" customFormat="1" ht="18" customHeight="1" x14ac:dyDescent="0.35">
      <c r="K169" s="92"/>
      <c r="M169" s="6" t="e">
        <f>#REF!</f>
        <v>#REF!</v>
      </c>
      <c r="N169" s="12"/>
      <c r="O169" s="2"/>
    </row>
    <row r="170" spans="11:15" s="3" customFormat="1" ht="18" customHeight="1" x14ac:dyDescent="0.35">
      <c r="K170" s="92"/>
      <c r="M170" s="6" t="e">
        <f>#REF!</f>
        <v>#REF!</v>
      </c>
      <c r="N170" s="12"/>
      <c r="O170" s="2"/>
    </row>
    <row r="171" spans="11:15" s="3" customFormat="1" ht="18" customHeight="1" x14ac:dyDescent="0.35">
      <c r="K171" s="92"/>
      <c r="M171" s="6" t="e">
        <f>#REF!</f>
        <v>#REF!</v>
      </c>
      <c r="N171" s="12"/>
      <c r="O171" s="2"/>
    </row>
    <row r="172" spans="11:15" s="3" customFormat="1" ht="18" customHeight="1" x14ac:dyDescent="0.35">
      <c r="K172" s="92"/>
      <c r="M172" s="6" t="e">
        <f>#REF!</f>
        <v>#REF!</v>
      </c>
      <c r="N172" s="12"/>
      <c r="O172" s="2"/>
    </row>
    <row r="173" spans="11:15" s="3" customFormat="1" ht="18" customHeight="1" x14ac:dyDescent="0.35">
      <c r="K173" s="92"/>
      <c r="M173" s="6" t="e">
        <f>#REF!</f>
        <v>#REF!</v>
      </c>
      <c r="N173" s="12"/>
      <c r="O173" s="2"/>
    </row>
    <row r="174" spans="11:15" s="3" customFormat="1" ht="18" customHeight="1" x14ac:dyDescent="0.35">
      <c r="K174" s="92"/>
      <c r="M174" s="6" t="e">
        <f>#REF!</f>
        <v>#REF!</v>
      </c>
      <c r="N174" s="12"/>
      <c r="O174" s="2"/>
    </row>
    <row r="175" spans="11:15" s="3" customFormat="1" ht="18" customHeight="1" x14ac:dyDescent="0.35">
      <c r="K175" s="94"/>
      <c r="M175" s="6" t="e">
        <f>IF(ch_decision=ch_oui,IF(ch_type_decision=ch_diag_acc_projet,1,0),0)</f>
        <v>#REF!</v>
      </c>
      <c r="N175" s="30"/>
      <c r="O175" s="2"/>
    </row>
    <row r="176" spans="11:15" s="3" customFormat="1" ht="18" customHeight="1" x14ac:dyDescent="0.35">
      <c r="K176" s="4"/>
      <c r="L176" s="5"/>
      <c r="M176" s="6" t="e">
        <f>IF(ch_decision=ch_oui,1,0)</f>
        <v>#REF!</v>
      </c>
      <c r="N176" s="30"/>
      <c r="O176" s="2"/>
    </row>
    <row r="177" spans="9:15" s="3" customFormat="1" ht="18" customHeight="1" x14ac:dyDescent="0.35">
      <c r="K177" s="115">
        <f>IFERROR(E5*IFERROR(IF(ch_nature_act2=ch_non_eco,[1]Parametres!$H$27,HLOOKUP(ch_taille,[1]Parametres!$E$26:$G$27,2,FALSE)),0),0)</f>
        <v>0</v>
      </c>
      <c r="L177" s="5"/>
      <c r="M177" s="6" t="e">
        <f>IF(ch_decision=ch_oui,1,0)</f>
        <v>#REF!</v>
      </c>
      <c r="N177" s="30"/>
      <c r="O177" s="2"/>
    </row>
    <row r="178" spans="9:15" s="3" customFormat="1" ht="18" customHeight="1" x14ac:dyDescent="0.35">
      <c r="K178" s="115">
        <f>IFERROR(#REF!*IFERROR(IF(ch_nature_act2=ch_non_eco,[1]Parametres!$H$27,HLOOKUP(ch_taille,[1]Parametres!$E$26:$G$27,2,FALSE)),0),0)</f>
        <v>0</v>
      </c>
      <c r="L178" s="5"/>
      <c r="M178" s="6" t="e">
        <f>IF(ch_decision=ch_oui,1,0)</f>
        <v>#REF!</v>
      </c>
      <c r="N178" s="30"/>
      <c r="O178" s="2"/>
    </row>
    <row r="179" spans="9:15" s="3" customFormat="1" ht="18" customHeight="1" x14ac:dyDescent="0.35">
      <c r="K179" s="4"/>
      <c r="L179" s="5"/>
      <c r="M179" s="6" t="e">
        <f>IF(AND(ch_inv=ch_oui,OR(ch_type_inv=ch_animation,ch_type_inv=ch_anim_form_com)),1,0)</f>
        <v>#REF!</v>
      </c>
      <c r="N179" s="30"/>
      <c r="O179" s="2"/>
    </row>
    <row r="180" spans="9:15" s="3" customFormat="1" ht="18" customHeight="1" x14ac:dyDescent="0.35">
      <c r="K180" s="4"/>
      <c r="L180" s="5"/>
      <c r="M180" s="6" t="e">
        <f>IF(AND(ch_inv=ch_oui,OR(ch_type_inv=ch_animation,ch_type_inv=ch_anim_form_com)),1,0)</f>
        <v>#REF!</v>
      </c>
      <c r="N180" s="30"/>
      <c r="O180" s="2"/>
    </row>
    <row r="181" spans="9:15" s="3" customFormat="1" ht="18" customHeight="1" x14ac:dyDescent="0.35">
      <c r="K181" s="4"/>
      <c r="L181" s="5"/>
      <c r="M181" s="6" t="e">
        <f>IF(AND(ch_inv=ch_oui,OR(ch_type_inv=ch_animation,ch_type_inv=ch_anim_form_com)),1,0)</f>
        <v>#REF!</v>
      </c>
      <c r="N181" s="30"/>
      <c r="O181" s="2"/>
    </row>
    <row r="182" spans="9:15" s="3" customFormat="1" ht="18" customHeight="1" x14ac:dyDescent="0.35">
      <c r="K182" s="92" t="e">
        <f>IF(OR(ch_inv&lt;&gt;ch_oui,AND(ch_type_inv&lt;&gt;ch_animation,ch_type_inv&lt;&gt;ch_anim_form_com)),0,(IF(ch_taille=ch_pe,55%,IF(ch_taille=ch_me,45%,35%))+IF(ch_localisation=ch_om,15%,IF(ch_localisation=ch_corse,5%,0)))*H77)</f>
        <v>#REF!</v>
      </c>
      <c r="L182" s="5"/>
      <c r="M182" s="6" t="e">
        <f>IF(AND(ch_inv=ch_oui,OR(ch_type_inv=ch_animation,ch_type_inv=ch_anim_form_com)),1,0)</f>
        <v>#REF!</v>
      </c>
      <c r="N182" s="12" t="e">
        <f>IF(O182="",0,1)</f>
        <v>#REF!</v>
      </c>
      <c r="O182" s="2" t="e">
        <f>IF(AND(ch_inv=ch_oui,OR(ch_type_inv=ch_animation,ch_type_inv=ch_anim_form_com),#REF!&gt;K182),"Intensité d'aide ADEME dépassée",IF(AND(ch_inv=ch_oui,OR(#REF!=0,#REF!="")),"Veuillez indiquer le montant de l'aide à l'investissement",""))</f>
        <v>#REF!</v>
      </c>
    </row>
    <row r="183" spans="9:15" s="3" customFormat="1" ht="18" customHeight="1" x14ac:dyDescent="0.35">
      <c r="K183" s="115" t="e">
        <f>IF(OR(ch_inv&lt;&gt;ch_oui,AND(ch_type_inv&lt;&gt;ch_animation,ch_type_inv&lt;&gt;ch_anim_form_com)),0,(IF(ch_taille=ch_pe,55%,IF(ch_taille=ch_me,45%,35%))+IF(ch_localisation=ch_om,15%,IF(OR(ch_localisation=ch_corse,ch_localisation=ch_afr),5%,0)))*G77)</f>
        <v>#REF!</v>
      </c>
      <c r="L183" s="5"/>
      <c r="M183" s="6" t="e">
        <f>IF(AND(ch_inv=ch_oui,OR(ch_type_inv=ch_animation,ch_type_inv=ch_anim_form_com)),1,0)</f>
        <v>#REF!</v>
      </c>
      <c r="N183" s="30"/>
      <c r="O183" s="2"/>
    </row>
    <row r="184" spans="9:15" s="3" customFormat="1" ht="18" customHeight="1" x14ac:dyDescent="0.35">
      <c r="K184" s="4"/>
      <c r="L184" s="5"/>
      <c r="M184" s="6" t="e">
        <f>IF(AND(ch_inv=ch_oui,OR(ch_type_inv=ch_form_com,ch_type_inv=ch_anim_form_com)),1,0)</f>
        <v>#REF!</v>
      </c>
      <c r="N184" s="30"/>
      <c r="O184" s="2"/>
    </row>
    <row r="185" spans="9:15" s="3" customFormat="1" ht="18" customHeight="1" x14ac:dyDescent="0.35">
      <c r="K185" s="4"/>
      <c r="L185" s="5"/>
      <c r="M185" s="6" t="e">
        <f>IF(AND(ch_inv=ch_oui,OR(ch_type_inv=ch_form_com,ch_type_inv=ch_anim_form_com)),1,0)</f>
        <v>#REF!</v>
      </c>
      <c r="N185" s="30"/>
      <c r="O185" s="2"/>
    </row>
    <row r="186" spans="9:15" s="3" customFormat="1" ht="18" customHeight="1" x14ac:dyDescent="0.35">
      <c r="K186" s="4"/>
      <c r="L186" s="5"/>
      <c r="M186" s="6" t="e">
        <f>IF(AND(ch_inv=ch_oui,OR(ch_type_inv=ch_form_com,ch_type_inv=ch_anim_form_com)),1,0)</f>
        <v>#REF!</v>
      </c>
      <c r="N186" s="30"/>
      <c r="O186" s="2"/>
    </row>
    <row r="187" spans="9:15" s="3" customFormat="1" ht="18" customHeight="1" x14ac:dyDescent="0.35">
      <c r="K187" s="92" t="e">
        <f>IF(OR(ch_inv&lt;&gt;ch_oui,AND(ch_type_inv&lt;&gt;ch_form_com,ch_type_inv&lt;&gt;ch_anim_form_com)),0,(IF(ch_taille=ch_pe,55%,IF(ch_taille=ch_me,45%,35%))+IF(ch_localisation=ch_om,15%,IF(ch_localisation=ch_corse,5%,0)))*#REF!)</f>
        <v>#REF!</v>
      </c>
      <c r="L187" s="5"/>
      <c r="M187" s="6" t="e">
        <f>IF(AND(ch_inv=ch_oui,OR(ch_type_inv=ch_form_com,ch_type_inv=ch_anim_form_com)),1,0)</f>
        <v>#REF!</v>
      </c>
      <c r="N187" s="12" t="e">
        <f>IF(O187="",0,1)</f>
        <v>#REF!</v>
      </c>
      <c r="O187" s="2" t="e">
        <f>IF(AND(ch_inv=ch_oui,OR(ch_type_inv=ch_animation,ch_type_inv=ch_anim_form_com),#REF!&gt;K187),"Intensité d'aide ADEME dépassée",IF(AND(ch_inv=ch_oui,OR(#REF!=0,#REF!="")),"Veuillez indiquer le montant de l'aide à l'investissement",""))</f>
        <v>#REF!</v>
      </c>
    </row>
    <row r="188" spans="9:15" s="3" customFormat="1" ht="18" customHeight="1" x14ac:dyDescent="0.35">
      <c r="K188" s="115" t="e">
        <f>IF(OR(ch_inv&lt;&gt;ch_oui,AND(ch_type_inv&lt;&gt;ch_animation,ch_type_inv&lt;&gt;ch_anim_form_com)),0,(IF(ch_taille=ch_pe,55%,IF(ch_taille=ch_me,45%,35%))+IF(ch_localisation=ch_om,15%,IF(OR(ch_localisation=ch_corse,ch_localisation=ch_afr),5%,0)))*#REF!)</f>
        <v>#REF!</v>
      </c>
      <c r="L188" s="5"/>
      <c r="M188" s="6" t="e">
        <f>IF(AND(ch_inv=ch_oui,OR(ch_type_inv=ch_form_com,ch_type_inv=ch_anim_form_com)),1,0)</f>
        <v>#REF!</v>
      </c>
      <c r="N188" s="30"/>
      <c r="O188" s="2"/>
    </row>
    <row r="189" spans="9:15" s="3" customFormat="1" ht="18" customHeight="1" x14ac:dyDescent="0.35">
      <c r="K189" s="4"/>
      <c r="L189" s="5"/>
      <c r="M189" s="6" t="e">
        <f>IF(ch_chg=ch_oui,1,0)</f>
        <v>#REF!</v>
      </c>
      <c r="N189" s="30"/>
      <c r="O189" s="2"/>
    </row>
    <row r="190" spans="9:15" s="3" customFormat="1" ht="18" customHeight="1" x14ac:dyDescent="0.35">
      <c r="K190" s="4"/>
      <c r="L190" s="5"/>
      <c r="M190" s="6" t="e">
        <f>IF(ch_chg=ch_oui,1,0)</f>
        <v>#REF!</v>
      </c>
      <c r="N190" s="30"/>
      <c r="O190" s="2"/>
    </row>
    <row r="191" spans="9:15" s="3" customFormat="1" ht="18" customHeight="1" x14ac:dyDescent="0.35">
      <c r="I191" s="119"/>
      <c r="J191" s="120"/>
      <c r="K191" s="117"/>
      <c r="M191" s="6" t="e">
        <f>IF(ch_chg=ch_oui,1,0)</f>
        <v>#REF!</v>
      </c>
      <c r="N191" s="30"/>
      <c r="O191" s="2"/>
    </row>
    <row r="192" spans="9:15" s="3" customFormat="1" ht="18" customHeight="1" x14ac:dyDescent="0.35">
      <c r="I192" s="116" t="s">
        <v>73</v>
      </c>
      <c r="J192"/>
      <c r="K192" s="117"/>
      <c r="M192" s="6">
        <v>1</v>
      </c>
      <c r="N192" s="30"/>
      <c r="O192" s="2"/>
    </row>
    <row r="193" spans="9:15" s="3" customFormat="1" ht="18" customHeight="1" x14ac:dyDescent="0.35">
      <c r="I193" s="121" t="e">
        <f>(#REF!+#REF!+#REF!)*#REF!</f>
        <v>#REF!</v>
      </c>
      <c r="J193"/>
      <c r="K193" s="92"/>
      <c r="M193" s="6" t="e">
        <f>IF(I193=0,0,1)</f>
        <v>#REF!</v>
      </c>
      <c r="N193" s="12"/>
      <c r="O193" s="2"/>
    </row>
    <row r="194" spans="9:15" s="3" customFormat="1" ht="18" customHeight="1" x14ac:dyDescent="0.35">
      <c r="I194" s="122" t="e">
        <f>(#REF!+#REF!+#REF!)*#REF!</f>
        <v>#REF!</v>
      </c>
      <c r="J194"/>
      <c r="K194" s="92"/>
      <c r="M194" s="6" t="e">
        <f>IF(I194=0,0,1)</f>
        <v>#REF!</v>
      </c>
      <c r="N194" s="12"/>
      <c r="O194" s="2"/>
    </row>
    <row r="195" spans="9:15" s="3" customFormat="1" ht="18" customHeight="1" x14ac:dyDescent="0.35">
      <c r="I195" s="122" t="e">
        <f>(#REF!+#REF!+#REF!)*#REF!</f>
        <v>#REF!</v>
      </c>
      <c r="J195"/>
      <c r="K195" s="94"/>
      <c r="M195" s="6" t="e">
        <f>IF(I195=0,0,1)</f>
        <v>#REF!</v>
      </c>
      <c r="N195" s="30"/>
      <c r="O195" s="2"/>
    </row>
    <row r="196" spans="9:15" s="3" customFormat="1" ht="18" customHeight="1" x14ac:dyDescent="0.35">
      <c r="I196" s="122" t="e">
        <f>(#REF!+#REF!+#REF!)*#REF!</f>
        <v>#REF!</v>
      </c>
      <c r="J196"/>
      <c r="K196" s="4"/>
      <c r="L196" s="5"/>
      <c r="M196" s="6" t="e">
        <f>IF(I196=0,0,1)</f>
        <v>#REF!</v>
      </c>
      <c r="N196" s="30"/>
      <c r="O196" s="2"/>
    </row>
    <row r="197" spans="9:15" s="3" customFormat="1" ht="18" customHeight="1" x14ac:dyDescent="0.35">
      <c r="I197" s="123" t="e">
        <f>(#REF!+#REF!+#REF!)*#REF!</f>
        <v>#REF!</v>
      </c>
      <c r="J197"/>
      <c r="K197" s="4"/>
      <c r="L197" s="5"/>
      <c r="M197" s="6" t="e">
        <f>IF(I197=0,0,1)</f>
        <v>#REF!</v>
      </c>
      <c r="N197" s="30"/>
      <c r="O197" s="2"/>
    </row>
    <row r="198" spans="9:15" s="3" customFormat="1" ht="18" customHeight="1" x14ac:dyDescent="0.35">
      <c r="I198" s="93" t="e">
        <f>IF((SUM(I193:I197))&lt;200000,(SUM(I193:I197)),200000)</f>
        <v>#REF!</v>
      </c>
      <c r="J198"/>
      <c r="K198" s="4"/>
      <c r="L198" s="5"/>
      <c r="M198" s="6">
        <v>1</v>
      </c>
      <c r="N198" s="30"/>
      <c r="O198" s="2"/>
    </row>
    <row r="199" spans="9:15" s="3" customFormat="1" ht="18" customHeight="1" x14ac:dyDescent="0.35">
      <c r="K199" s="4"/>
      <c r="L199" s="5"/>
      <c r="M199" s="6">
        <v>1</v>
      </c>
      <c r="N199" s="30"/>
      <c r="O199" s="2"/>
    </row>
    <row r="200" spans="9:15" s="3" customFormat="1" ht="18" customHeight="1" x14ac:dyDescent="0.35">
      <c r="I200" s="124" t="e">
        <f>+I198</f>
        <v>#REF!</v>
      </c>
      <c r="J200" s="125"/>
      <c r="K200" s="4"/>
      <c r="L200" s="5"/>
      <c r="M200" s="6">
        <v>1</v>
      </c>
      <c r="N200" s="30"/>
      <c r="O200" s="2"/>
    </row>
    <row r="201" spans="9:15" s="3" customFormat="1" ht="18" customHeight="1" x14ac:dyDescent="0.35">
      <c r="I201" s="126"/>
      <c r="J201" s="126"/>
      <c r="K201" s="4"/>
      <c r="L201" s="5"/>
      <c r="M201" s="6">
        <v>1</v>
      </c>
      <c r="N201" s="30"/>
      <c r="O201" s="2"/>
    </row>
    <row r="202" spans="9:15" s="3" customFormat="1" ht="18" customHeight="1" x14ac:dyDescent="0.35">
      <c r="K202" s="115" t="e">
        <f>#REF!</f>
        <v>#REF!</v>
      </c>
      <c r="L202" s="127"/>
      <c r="M202" s="6" t="e">
        <f>IF(ch_chg=ch_oui,1,0)</f>
        <v>#REF!</v>
      </c>
      <c r="N202" s="30"/>
      <c r="O202" s="2"/>
    </row>
    <row r="203" spans="9:15" s="3" customFormat="1" ht="18" customHeight="1" x14ac:dyDescent="0.35">
      <c r="K203" s="115"/>
      <c r="L203" s="127"/>
      <c r="M203" s="6"/>
      <c r="N203" s="30"/>
      <c r="O203" s="2"/>
    </row>
    <row r="204" spans="9:15" s="3" customFormat="1" ht="18" customHeight="1" x14ac:dyDescent="0.35">
      <c r="K204" s="4"/>
      <c r="L204" s="5"/>
      <c r="M204" s="6" t="e">
        <f>IF(ch_chg=ch_oui,1,0)</f>
        <v>#REF!</v>
      </c>
      <c r="N204" s="30"/>
      <c r="O204" s="2"/>
    </row>
    <row r="205" spans="9:15" s="3" customFormat="1" ht="18" customHeight="1" x14ac:dyDescent="0.35">
      <c r="K205" s="4"/>
      <c r="L205" s="5"/>
      <c r="M205" s="6">
        <v>1</v>
      </c>
      <c r="N205" s="30"/>
      <c r="O205" s="2"/>
    </row>
    <row r="206" spans="9:15" s="3" customFormat="1" ht="18" customHeight="1" x14ac:dyDescent="0.35">
      <c r="K206" s="4"/>
      <c r="L206" s="5"/>
      <c r="M206" s="6">
        <v>1</v>
      </c>
      <c r="N206" s="30"/>
      <c r="O206" s="2"/>
    </row>
    <row r="207" spans="9:15" s="3" customFormat="1" ht="18" customHeight="1" x14ac:dyDescent="0.35">
      <c r="K207" s="4"/>
      <c r="L207" s="5"/>
      <c r="M207" s="6">
        <v>1</v>
      </c>
      <c r="N207" s="30"/>
      <c r="O207" s="2"/>
    </row>
    <row r="208" spans="9:15" s="3" customFormat="1" ht="18" customHeight="1" x14ac:dyDescent="0.35">
      <c r="K208" s="4"/>
      <c r="L208" s="5"/>
      <c r="M208" s="6" t="e">
        <f>IF(OR(#REF!=ch_oui,#REF!=ch_oui),1,0)</f>
        <v>#REF!</v>
      </c>
      <c r="N208" s="30"/>
      <c r="O208" s="2"/>
    </row>
    <row r="209" spans="2:15" s="3" customFormat="1" ht="18" customHeight="1" x14ac:dyDescent="0.35">
      <c r="K209" s="4"/>
      <c r="L209" s="5"/>
      <c r="M209" s="6">
        <v>1</v>
      </c>
      <c r="N209" s="30"/>
      <c r="O209" s="2"/>
    </row>
    <row r="210" spans="2:15" s="3" customFormat="1" ht="18" customHeight="1" x14ac:dyDescent="0.35">
      <c r="K210" s="31"/>
      <c r="L210" s="5"/>
      <c r="M210" s="6">
        <v>1</v>
      </c>
      <c r="N210" s="30"/>
      <c r="O210" s="2"/>
    </row>
    <row r="211" spans="2:15" ht="18" customHeight="1" x14ac:dyDescent="0.35">
      <c r="M211" s="6">
        <v>1</v>
      </c>
    </row>
    <row r="212" spans="2:15" ht="18" customHeight="1" x14ac:dyDescent="0.35">
      <c r="M212" s="6">
        <v>1</v>
      </c>
    </row>
    <row r="213" spans="2:15" s="3" customFormat="1" ht="18" customHeight="1" x14ac:dyDescent="0.35">
      <c r="K213" s="4"/>
      <c r="L213" s="5"/>
      <c r="M213" s="6">
        <v>1</v>
      </c>
      <c r="N213" s="30"/>
      <c r="O213" s="2"/>
    </row>
    <row r="214" spans="2:15" s="132" customFormat="1" ht="18" customHeight="1" x14ac:dyDescent="0.3">
      <c r="B214" s="3"/>
      <c r="C214" s="3"/>
      <c r="D214" s="3"/>
      <c r="E214" s="3"/>
      <c r="F214" s="3"/>
      <c r="G214" s="3"/>
      <c r="H214" s="3"/>
      <c r="K214" s="133">
        <v>1</v>
      </c>
      <c r="M214" s="134">
        <v>1</v>
      </c>
      <c r="N214" s="135"/>
      <c r="O214" s="136"/>
    </row>
    <row r="215" spans="2:15" s="132" customFormat="1" ht="18" customHeight="1" x14ac:dyDescent="0.3">
      <c r="B215" s="3"/>
      <c r="C215" s="3"/>
      <c r="D215" s="3"/>
      <c r="E215" s="3"/>
      <c r="F215" s="3"/>
      <c r="G215" s="3"/>
      <c r="H215" s="3"/>
      <c r="K215" s="133">
        <f t="shared" ref="K215:K221" si="3">IF(F104&gt;0,1,0)</f>
        <v>0</v>
      </c>
      <c r="M215" s="134">
        <v>1</v>
      </c>
      <c r="N215" s="135"/>
      <c r="O215" s="136"/>
    </row>
    <row r="216" spans="2:15" s="132" customFormat="1" ht="18" customHeight="1" x14ac:dyDescent="0.3">
      <c r="B216" s="3"/>
      <c r="C216" s="3"/>
      <c r="D216" s="3"/>
      <c r="E216" s="3"/>
      <c r="F216" s="3"/>
      <c r="G216" s="3"/>
      <c r="H216" s="3"/>
      <c r="K216" s="133">
        <f t="shared" si="3"/>
        <v>0</v>
      </c>
      <c r="M216" s="134">
        <f t="shared" ref="M216:M236" si="4">IF(F105&gt;0,1,0)</f>
        <v>0</v>
      </c>
      <c r="N216" s="135"/>
      <c r="O216" s="136"/>
    </row>
    <row r="217" spans="2:15" s="132" customFormat="1" ht="18" customHeight="1" x14ac:dyDescent="0.3">
      <c r="B217" s="3"/>
      <c r="C217" s="3"/>
      <c r="D217" s="3"/>
      <c r="E217" s="3"/>
      <c r="F217" s="3"/>
      <c r="G217" s="3"/>
      <c r="H217" s="3"/>
      <c r="K217" s="133">
        <f t="shared" si="3"/>
        <v>0</v>
      </c>
      <c r="M217" s="134">
        <f t="shared" si="4"/>
        <v>0</v>
      </c>
      <c r="N217" s="135"/>
      <c r="O217" s="136"/>
    </row>
    <row r="218" spans="2:15" s="132" customFormat="1" ht="18" customHeight="1" x14ac:dyDescent="0.3">
      <c r="B218" s="3"/>
      <c r="C218" s="3"/>
      <c r="D218" s="3"/>
      <c r="E218" s="3"/>
      <c r="F218" s="3"/>
      <c r="G218" s="3"/>
      <c r="H218" s="3"/>
      <c r="K218" s="133">
        <f t="shared" si="3"/>
        <v>0</v>
      </c>
      <c r="M218" s="134">
        <f t="shared" si="4"/>
        <v>0</v>
      </c>
      <c r="N218" s="135"/>
      <c r="O218" s="136"/>
    </row>
    <row r="219" spans="2:15" s="132" customFormat="1" ht="18" customHeight="1" x14ac:dyDescent="0.3">
      <c r="B219" s="3"/>
      <c r="C219" s="3"/>
      <c r="D219" s="3"/>
      <c r="E219" s="3"/>
      <c r="F219" s="3"/>
      <c r="G219" s="3"/>
      <c r="H219" s="3"/>
      <c r="K219" s="133">
        <f t="shared" si="3"/>
        <v>0</v>
      </c>
      <c r="M219" s="134">
        <f t="shared" si="4"/>
        <v>0</v>
      </c>
      <c r="N219" s="135"/>
      <c r="O219" s="136"/>
    </row>
    <row r="220" spans="2:15" s="132" customFormat="1" ht="18" customHeight="1" x14ac:dyDescent="0.3">
      <c r="B220" s="3"/>
      <c r="C220" s="3"/>
      <c r="D220" s="3"/>
      <c r="E220" s="3"/>
      <c r="F220" s="3"/>
      <c r="G220" s="3"/>
      <c r="H220" s="3"/>
      <c r="K220" s="133">
        <f t="shared" si="3"/>
        <v>0</v>
      </c>
      <c r="M220" s="134">
        <f t="shared" si="4"/>
        <v>0</v>
      </c>
      <c r="N220" s="135"/>
      <c r="O220" s="136"/>
    </row>
    <row r="221" spans="2:15" s="132" customFormat="1" ht="18" customHeight="1" x14ac:dyDescent="0.3">
      <c r="B221" s="3"/>
      <c r="C221" s="3"/>
      <c r="D221" s="3"/>
      <c r="E221" s="3"/>
      <c r="F221" s="3"/>
      <c r="G221" s="3"/>
      <c r="H221" s="3"/>
      <c r="K221" s="133">
        <f t="shared" si="3"/>
        <v>0</v>
      </c>
      <c r="M221" s="134">
        <f t="shared" si="4"/>
        <v>0</v>
      </c>
      <c r="N221" s="135"/>
      <c r="O221" s="136"/>
    </row>
    <row r="222" spans="2:15" s="132" customFormat="1" ht="18" customHeight="1" x14ac:dyDescent="0.3">
      <c r="B222" s="3"/>
      <c r="C222" s="3"/>
      <c r="D222" s="3"/>
      <c r="E222" s="3"/>
      <c r="F222" s="3"/>
      <c r="G222" s="3"/>
      <c r="H222" s="3"/>
      <c r="K222" s="115" t="e">
        <f>IF(ch_connaissance=ch_oui,K147,0)+IF(AND(ch_decision=ch_oui,OR(ch_type_decision=ch_diag,ch_type_decision=ch_diag_acc_projet)),K177,0)+IF(AND(ch_decision=ch_oui,OR(ch_type_decision=ch_acc_projet,ch_type_decision=ch_diag_acc_projet)),K178,0)+IF(ch_inv=ch_oui,IF(ch_type_inv=ch_animation,K183,IF(ch_type_inv=ch_form_com,K188,IF(ch_type_inv=ch_anim_form_com,K183+K188,0))),0)+IF(ch_chg=ch_oui,K202,0)</f>
        <v>#REF!</v>
      </c>
      <c r="M222" s="134">
        <f t="shared" si="4"/>
        <v>0</v>
      </c>
      <c r="N222" s="12" t="e">
        <f>IF(O222="",0,1)</f>
        <v>#REF!</v>
      </c>
      <c r="O222" s="136" t="e">
        <f>IF(F111&gt;K222,"Intensité de cumul d'aides publiques dépassée","")</f>
        <v>#REF!</v>
      </c>
    </row>
    <row r="223" spans="2:15" s="132" customFormat="1" ht="18" customHeight="1" x14ac:dyDescent="0.3">
      <c r="B223" s="3"/>
      <c r="C223" s="3"/>
      <c r="D223" s="3"/>
      <c r="E223" s="3"/>
      <c r="F223" s="3"/>
      <c r="G223" s="3"/>
      <c r="H223" s="3"/>
      <c r="K223" s="133">
        <f t="shared" ref="K223:K236" si="5">IF(F112&gt;0,1,0)</f>
        <v>0</v>
      </c>
      <c r="M223" s="134">
        <f t="shared" si="4"/>
        <v>0</v>
      </c>
      <c r="N223" s="135"/>
      <c r="O223" s="136"/>
    </row>
    <row r="224" spans="2:15" s="132" customFormat="1" ht="18" customHeight="1" x14ac:dyDescent="0.3">
      <c r="B224" s="3"/>
      <c r="C224" s="3"/>
      <c r="D224" s="3"/>
      <c r="E224" s="3"/>
      <c r="F224" s="3"/>
      <c r="G224" s="3"/>
      <c r="H224" s="3"/>
      <c r="K224" s="133">
        <f t="shared" si="5"/>
        <v>0</v>
      </c>
      <c r="M224" s="134">
        <f t="shared" si="4"/>
        <v>0</v>
      </c>
      <c r="N224" s="135"/>
      <c r="O224" s="136"/>
    </row>
    <row r="225" spans="2:15" s="132" customFormat="1" ht="18" customHeight="1" x14ac:dyDescent="0.3">
      <c r="B225" s="3"/>
      <c r="C225" s="3"/>
      <c r="D225" s="3"/>
      <c r="E225" s="3"/>
      <c r="F225" s="3"/>
      <c r="G225" s="3"/>
      <c r="H225" s="3"/>
      <c r="K225" s="133">
        <f t="shared" si="5"/>
        <v>0</v>
      </c>
      <c r="M225" s="134">
        <f t="shared" si="4"/>
        <v>0</v>
      </c>
      <c r="N225" s="135"/>
      <c r="O225" s="136"/>
    </row>
    <row r="226" spans="2:15" s="132" customFormat="1" ht="18" customHeight="1" x14ac:dyDescent="0.3">
      <c r="B226" s="3"/>
      <c r="C226" s="3"/>
      <c r="D226" s="3"/>
      <c r="E226" s="3"/>
      <c r="F226" s="3"/>
      <c r="G226" s="3"/>
      <c r="H226" s="3"/>
      <c r="K226" s="133">
        <f t="shared" si="5"/>
        <v>0</v>
      </c>
      <c r="M226" s="134">
        <f t="shared" si="4"/>
        <v>0</v>
      </c>
      <c r="N226" s="135"/>
      <c r="O226" s="136"/>
    </row>
    <row r="227" spans="2:15" s="132" customFormat="1" ht="18" customHeight="1" x14ac:dyDescent="0.3">
      <c r="B227" s="3"/>
      <c r="C227" s="3"/>
      <c r="D227" s="3"/>
      <c r="E227" s="3"/>
      <c r="F227" s="3"/>
      <c r="G227" s="3"/>
      <c r="H227" s="3"/>
      <c r="K227" s="133">
        <f t="shared" si="5"/>
        <v>0</v>
      </c>
      <c r="M227" s="134">
        <f t="shared" si="4"/>
        <v>0</v>
      </c>
      <c r="N227" s="135"/>
      <c r="O227" s="136"/>
    </row>
    <row r="228" spans="2:15" s="132" customFormat="1" ht="18" customHeight="1" x14ac:dyDescent="0.3">
      <c r="B228" s="3"/>
      <c r="C228" s="3"/>
      <c r="D228" s="3"/>
      <c r="E228" s="3"/>
      <c r="F228" s="3"/>
      <c r="G228" s="3"/>
      <c r="H228" s="3"/>
      <c r="K228" s="133">
        <f t="shared" si="5"/>
        <v>0</v>
      </c>
      <c r="M228" s="134">
        <f t="shared" si="4"/>
        <v>0</v>
      </c>
      <c r="N228" s="135"/>
      <c r="O228" s="136"/>
    </row>
    <row r="229" spans="2:15" s="132" customFormat="1" ht="18" customHeight="1" x14ac:dyDescent="0.3">
      <c r="B229" s="3"/>
      <c r="C229" s="3"/>
      <c r="D229" s="3"/>
      <c r="E229" s="3"/>
      <c r="F229" s="3"/>
      <c r="G229" s="3"/>
      <c r="H229" s="3"/>
      <c r="K229" s="133">
        <f t="shared" si="5"/>
        <v>0</v>
      </c>
      <c r="M229" s="134">
        <f t="shared" si="4"/>
        <v>0</v>
      </c>
      <c r="N229" s="135"/>
      <c r="O229" s="136"/>
    </row>
    <row r="230" spans="2:15" s="132" customFormat="1" ht="18" customHeight="1" x14ac:dyDescent="0.3">
      <c r="B230" s="3"/>
      <c r="C230" s="3"/>
      <c r="D230" s="3"/>
      <c r="E230" s="3"/>
      <c r="F230" s="3"/>
      <c r="G230" s="3"/>
      <c r="H230" s="3"/>
      <c r="K230" s="133">
        <f t="shared" si="5"/>
        <v>0</v>
      </c>
      <c r="M230" s="134">
        <f t="shared" si="4"/>
        <v>0</v>
      </c>
      <c r="N230" s="135"/>
      <c r="O230" s="136"/>
    </row>
    <row r="231" spans="2:15" s="132" customFormat="1" ht="18" customHeight="1" x14ac:dyDescent="0.3">
      <c r="B231" s="3"/>
      <c r="C231" s="3"/>
      <c r="D231" s="3"/>
      <c r="E231" s="3"/>
      <c r="F231" s="3"/>
      <c r="G231" s="3"/>
      <c r="H231" s="3"/>
      <c r="K231" s="133">
        <f t="shared" si="5"/>
        <v>0</v>
      </c>
      <c r="M231" s="134">
        <f t="shared" si="4"/>
        <v>0</v>
      </c>
      <c r="N231" s="12">
        <f>IF(O231="",0,1)</f>
        <v>0</v>
      </c>
      <c r="O231" s="136" t="str">
        <f>IF(F120&lt;0,"L'auto-financement ne peut pas être négatif","")</f>
        <v/>
      </c>
    </row>
    <row r="232" spans="2:15" s="132" customFormat="1" ht="18" customHeight="1" x14ac:dyDescent="0.3">
      <c r="B232" s="3"/>
      <c r="C232" s="3"/>
      <c r="D232" s="3"/>
      <c r="E232" s="3"/>
      <c r="F232" s="3"/>
      <c r="G232" s="3"/>
      <c r="H232" s="3"/>
      <c r="K232" s="133">
        <f t="shared" si="5"/>
        <v>0</v>
      </c>
      <c r="M232" s="134">
        <f t="shared" si="4"/>
        <v>0</v>
      </c>
      <c r="N232" s="135"/>
      <c r="O232" s="136"/>
    </row>
    <row r="233" spans="2:15" s="132" customFormat="1" ht="18" customHeight="1" x14ac:dyDescent="0.3">
      <c r="B233" s="3"/>
      <c r="C233" s="3"/>
      <c r="D233" s="3"/>
      <c r="E233" s="3"/>
      <c r="F233" s="3"/>
      <c r="G233" s="3"/>
      <c r="H233" s="3"/>
      <c r="K233" s="133">
        <f t="shared" si="5"/>
        <v>0</v>
      </c>
      <c r="M233" s="134">
        <f t="shared" si="4"/>
        <v>0</v>
      </c>
      <c r="N233" s="135"/>
      <c r="O233" s="136"/>
    </row>
    <row r="234" spans="2:15" s="132" customFormat="1" ht="18" customHeight="1" x14ac:dyDescent="0.3">
      <c r="B234" s="3"/>
      <c r="C234" s="3"/>
      <c r="D234" s="3"/>
      <c r="E234" s="3"/>
      <c r="F234" s="3"/>
      <c r="G234" s="3"/>
      <c r="H234" s="3"/>
      <c r="K234" s="133">
        <f t="shared" si="5"/>
        <v>0</v>
      </c>
      <c r="M234" s="134">
        <f t="shared" si="4"/>
        <v>0</v>
      </c>
      <c r="N234" s="135"/>
      <c r="O234" s="136"/>
    </row>
    <row r="235" spans="2:15" s="132" customFormat="1" ht="18" customHeight="1" x14ac:dyDescent="0.3">
      <c r="B235" s="3"/>
      <c r="C235" s="3"/>
      <c r="D235" s="3"/>
      <c r="E235" s="3"/>
      <c r="F235" s="3"/>
      <c r="G235" s="3"/>
      <c r="H235" s="3"/>
      <c r="K235" s="133">
        <f t="shared" si="5"/>
        <v>0</v>
      </c>
      <c r="M235" s="134">
        <f t="shared" si="4"/>
        <v>0</v>
      </c>
      <c r="N235" s="135"/>
      <c r="O235" s="136"/>
    </row>
    <row r="236" spans="2:15" s="132" customFormat="1" ht="18" customHeight="1" x14ac:dyDescent="0.3">
      <c r="B236" s="3"/>
      <c r="C236" s="3"/>
      <c r="D236" s="3"/>
      <c r="E236" s="3"/>
      <c r="F236" s="3"/>
      <c r="G236" s="3"/>
      <c r="H236" s="3"/>
      <c r="K236" s="133">
        <f t="shared" si="5"/>
        <v>0</v>
      </c>
      <c r="M236" s="134">
        <f t="shared" si="4"/>
        <v>0</v>
      </c>
      <c r="N236" s="135"/>
      <c r="O236" s="136"/>
    </row>
    <row r="237" spans="2:15" s="132" customFormat="1" ht="18" customHeight="1" x14ac:dyDescent="0.3">
      <c r="B237" s="3"/>
      <c r="C237" s="3"/>
      <c r="D237" s="3"/>
      <c r="E237" s="3"/>
      <c r="F237" s="3"/>
      <c r="G237" s="3"/>
      <c r="H237" s="3"/>
      <c r="K237" s="129"/>
      <c r="L237" s="129"/>
      <c r="M237" s="134">
        <v>1</v>
      </c>
      <c r="N237" s="142"/>
      <c r="O237" s="143"/>
    </row>
    <row r="238" spans="2:15" s="132" customFormat="1" ht="18" customHeight="1" x14ac:dyDescent="0.3">
      <c r="B238" s="3"/>
      <c r="C238" s="3"/>
      <c r="D238" s="3"/>
      <c r="E238" s="3"/>
      <c r="F238" s="3"/>
      <c r="G238" s="3"/>
      <c r="H238" s="3"/>
      <c r="K238" s="129"/>
      <c r="L238" s="129"/>
      <c r="M238" s="144">
        <v>1</v>
      </c>
      <c r="N238" s="142"/>
      <c r="O238" s="143"/>
    </row>
    <row r="239" spans="2:15" ht="18" customHeight="1" x14ac:dyDescent="0.35">
      <c r="M239" s="6">
        <v>1</v>
      </c>
    </row>
    <row r="240" spans="2:15" ht="18" customHeight="1" x14ac:dyDescent="0.35">
      <c r="M240" s="6">
        <v>1</v>
      </c>
    </row>
    <row r="241" spans="11:15" s="3" customFormat="1" ht="18" customHeight="1" x14ac:dyDescent="0.35">
      <c r="K241" s="4"/>
      <c r="L241" s="5"/>
      <c r="M241" s="6">
        <v>1</v>
      </c>
      <c r="N241" s="30"/>
      <c r="O241" s="2"/>
    </row>
    <row r="242" spans="11:15" ht="18" customHeight="1" x14ac:dyDescent="0.35">
      <c r="M242" s="6">
        <v>1</v>
      </c>
    </row>
    <row r="243" spans="11:15" s="3" customFormat="1" ht="18" customHeight="1" x14ac:dyDescent="0.35">
      <c r="K243" s="4"/>
      <c r="L243" s="5"/>
      <c r="M243" s="6">
        <v>1</v>
      </c>
      <c r="N243" s="30"/>
      <c r="O243" s="2"/>
    </row>
    <row r="244" spans="11:15" ht="18" customHeight="1" x14ac:dyDescent="0.35">
      <c r="M244" s="6">
        <v>1</v>
      </c>
    </row>
    <row r="245" spans="11:15" ht="18" customHeight="1" x14ac:dyDescent="0.35">
      <c r="M245" s="6">
        <v>1</v>
      </c>
    </row>
    <row r="246" spans="11:15" s="3" customFormat="1" ht="18" customHeight="1" x14ac:dyDescent="0.35">
      <c r="K246" s="31"/>
      <c r="L246" s="5"/>
      <c r="M246" s="6">
        <v>1</v>
      </c>
      <c r="N246" s="30"/>
      <c r="O246" s="2"/>
    </row>
    <row r="247" spans="11:15" s="3" customFormat="1" ht="18" customHeight="1" x14ac:dyDescent="0.35">
      <c r="K247" s="4"/>
      <c r="L247" s="5"/>
      <c r="M247" s="6">
        <v>1</v>
      </c>
      <c r="N247" s="30"/>
      <c r="O247" s="2"/>
    </row>
    <row r="248" spans="11:15" ht="18" customHeight="1" x14ac:dyDescent="0.35">
      <c r="M248" s="6">
        <v>1</v>
      </c>
    </row>
    <row r="249" spans="11:15" ht="18" customHeight="1" x14ac:dyDescent="0.35">
      <c r="M249" s="6">
        <v>1</v>
      </c>
    </row>
    <row r="250" spans="11:15" ht="18" customHeight="1" x14ac:dyDescent="0.35">
      <c r="M250" s="6" t="e">
        <f>IF(AND(ch_mod_vers&lt;&gt;"Regrouper",ch_connaissance=ch_oui),1,0)</f>
        <v>#REF!</v>
      </c>
    </row>
    <row r="251" spans="11:15" s="3" customFormat="1" ht="18" customHeight="1" x14ac:dyDescent="0.35">
      <c r="K251" s="4"/>
      <c r="L251" s="5"/>
      <c r="M251" s="6" t="e">
        <f>IF(AND(ch_mod_vers&lt;&gt;"Regrouper",ch_connaissance=ch_oui),1,0)</f>
        <v>#REF!</v>
      </c>
      <c r="N251" s="30"/>
      <c r="O251" s="2"/>
    </row>
    <row r="252" spans="11:15" ht="18" customHeight="1" x14ac:dyDescent="0.35">
      <c r="M252" s="6" t="e">
        <f>IF(AND(ch_mod_vers&lt;&gt;"Regrouper",ch_connaissance=ch_oui),1,0)</f>
        <v>#REF!</v>
      </c>
    </row>
    <row r="253" spans="11:15" s="3" customFormat="1" ht="18" customHeight="1" x14ac:dyDescent="0.35">
      <c r="K253" s="4"/>
      <c r="L253" s="5"/>
      <c r="M253" s="6" t="e">
        <f>IF(AND(ch_mod_vers&lt;&gt;"Regrouper",ch_connaissance=ch_oui),1,0)</f>
        <v>#REF!</v>
      </c>
      <c r="N253" s="30"/>
      <c r="O253" s="2"/>
    </row>
    <row r="254" spans="11:15" ht="18" customHeight="1" x14ac:dyDescent="0.35">
      <c r="M254" s="6" t="e">
        <f>IF(AND(ch_mod_vers&lt;&gt;"Regrouper",ch_connaissance=ch_oui),IF(AND(OR(nb_vers_connaissance=0,nb_vers_connaissance=""),OR($D$28=0,$D$28="")),1,0),0)</f>
        <v>#REF!</v>
      </c>
    </row>
    <row r="255" spans="11:15" ht="18" customHeight="1" x14ac:dyDescent="0.35">
      <c r="M255" s="6" t="e">
        <f>IF(AND(ch_mod_vers&lt;&gt;"Regrouper",ch_connaissance=ch_oui),IF(AND(OR(nb_vers_connaissance=0,nb_vers_connaissance=""),OR($D$28=0,$D$28="")),0,1),0)</f>
        <v>#REF!</v>
      </c>
    </row>
    <row r="256" spans="11:15" ht="18" customHeight="1" x14ac:dyDescent="0.35">
      <c r="M256" s="6" t="e">
        <f>IF(AND(ch_mod_vers&lt;&gt;"Regrouper",ch_connaissance=ch_oui),IF($D$28&gt;0,1,0),0)</f>
        <v>#REF!</v>
      </c>
    </row>
    <row r="257" spans="11:15" ht="18" customHeight="1" x14ac:dyDescent="0.35">
      <c r="M257" s="6" t="e">
        <f>IF(AND(ch_mod_vers&lt;&gt;"Regrouper",ch_connaissance=ch_oui),IF(nb_vers_connaissance=2,1,0),0)</f>
        <v>#REF!</v>
      </c>
    </row>
    <row r="258" spans="11:15" ht="18" customHeight="1" x14ac:dyDescent="0.35">
      <c r="M258" s="6" t="e">
        <f>IF(AND(ch_mod_vers&lt;&gt;"Regrouper",ch_connaissance=ch_oui),IF(nb_vers_connaissance=2,1,0),0)</f>
        <v>#REF!</v>
      </c>
    </row>
    <row r="259" spans="11:15" ht="18" customHeight="1" x14ac:dyDescent="0.35">
      <c r="M259" s="6" t="e">
        <f>IF(AND(ch_mod_vers&lt;&gt;"Regrouper",ch_connaissance=ch_oui),IF(nb_vers_connaissance&gt;0,1,0),0)</f>
        <v>#REF!</v>
      </c>
    </row>
    <row r="260" spans="11:15" ht="18" customHeight="1" x14ac:dyDescent="0.35">
      <c r="M260" s="6" t="e">
        <f>IF(AND(ch_mod_vers&lt;&gt;"Regrouper",ch_connaissance=ch_oui),IF(AND(OR(nb_vers_connaissance=0,nb_vers_connaissance=""),OR($D$28=0,$D$28="")),0,1),0)</f>
        <v>#REF!</v>
      </c>
    </row>
    <row r="261" spans="11:15" s="3" customFormat="1" ht="18" customHeight="1" x14ac:dyDescent="0.35">
      <c r="K261" s="4"/>
      <c r="L261" s="5"/>
      <c r="M261" s="6" t="e">
        <f>IF(AND(ch_mod_vers&lt;&gt;"Regrouper",ch_connaissance=ch_oui),1,0)</f>
        <v>#REF!</v>
      </c>
      <c r="N261" s="30"/>
      <c r="O261" s="2"/>
    </row>
    <row r="262" spans="11:15" ht="18" customHeight="1" x14ac:dyDescent="0.35">
      <c r="M262" s="6" t="e">
        <f>IF(AND(ch_mod_vers&lt;&gt;"Regrouper",ch_connaissance=ch_oui),1,0)</f>
        <v>#REF!</v>
      </c>
    </row>
    <row r="263" spans="11:15" s="3" customFormat="1" ht="18" customHeight="1" x14ac:dyDescent="0.35">
      <c r="K263" s="4"/>
      <c r="L263" s="5"/>
      <c r="M263" s="6" t="e">
        <f>IF(AND(ch_mod_vers&lt;&gt;"Regrouper",ch_connaissance=ch_oui),1,0)</f>
        <v>#REF!</v>
      </c>
      <c r="N263" s="30"/>
      <c r="O263" s="2"/>
    </row>
    <row r="264" spans="11:15" ht="18" customHeight="1" x14ac:dyDescent="0.35">
      <c r="M264" s="6" t="e">
        <f>IF(AND(ch_mod_vers&lt;&gt;"Regrouper",ch_connaissance=ch_oui),1,0)</f>
        <v>#REF!</v>
      </c>
    </row>
    <row r="265" spans="11:15" ht="18" customHeight="1" x14ac:dyDescent="0.35">
      <c r="L265" s="145"/>
      <c r="M265" s="6" t="e">
        <f>IF(AND(ch_mod_vers&lt;&gt;"Regrouper",ch_connaissance=ch_oui),1,0)</f>
        <v>#REF!</v>
      </c>
      <c r="N265" s="146"/>
      <c r="O265" s="147"/>
    </row>
    <row r="266" spans="11:15" ht="18" customHeight="1" x14ac:dyDescent="0.35">
      <c r="M266" s="6" t="e">
        <f>IF(AND(ch_mod_vers&lt;&gt;"Regrouper",ch_decision=ch_oui),1,0)</f>
        <v>#REF!</v>
      </c>
    </row>
    <row r="267" spans="11:15" s="3" customFormat="1" ht="18" customHeight="1" x14ac:dyDescent="0.35">
      <c r="K267" s="4"/>
      <c r="L267" s="5"/>
      <c r="M267" s="6" t="e">
        <f>IF(AND(ch_mod_vers&lt;&gt;"Regrouper",ch_decision=ch_oui),1,0)</f>
        <v>#REF!</v>
      </c>
      <c r="N267" s="30"/>
      <c r="O267" s="2"/>
    </row>
    <row r="268" spans="11:15" ht="18" customHeight="1" x14ac:dyDescent="0.35">
      <c r="M268" s="6" t="e">
        <f>IF(AND(ch_mod_vers&lt;&gt;"Regrouper",ch_decision=ch_oui),1,0)</f>
        <v>#REF!</v>
      </c>
    </row>
    <row r="269" spans="11:15" s="3" customFormat="1" ht="18" customHeight="1" x14ac:dyDescent="0.35">
      <c r="K269" s="4"/>
      <c r="L269" s="5"/>
      <c r="M269" s="6" t="e">
        <f>IF(AND(ch_mod_vers&lt;&gt;"Regrouper",ch_decision=ch_oui),1,0)</f>
        <v>#REF!</v>
      </c>
      <c r="N269" s="30"/>
      <c r="O269" s="2"/>
    </row>
    <row r="270" spans="11:15" ht="18" customHeight="1" x14ac:dyDescent="0.35">
      <c r="M270" s="6" t="e">
        <f>IF(AND(ch_mod_vers&lt;&gt;"Regrouper",ch_decision=ch_oui),IF(AND(OR(nb_vers_decision=0,nb_vers_decision=""),OR($D$29=0,$D$29="")),1,0),0)</f>
        <v>#REF!</v>
      </c>
    </row>
    <row r="271" spans="11:15" ht="18" customHeight="1" x14ac:dyDescent="0.35">
      <c r="M271" s="6" t="e">
        <f>IF(AND(ch_mod_vers&lt;&gt;"Regrouper",ch_decision=ch_oui),IF(AND(OR(nb_vers_decision=0,nb_vers_decision=""),OR($D$29=0,$D$29="")),0,1),0)</f>
        <v>#REF!</v>
      </c>
    </row>
    <row r="272" spans="11:15" ht="18" customHeight="1" x14ac:dyDescent="0.35">
      <c r="M272" s="6" t="e">
        <f>IF(AND(ch_mod_vers&lt;&gt;"Regrouper",ch_decision=ch_oui),IF($D$29&gt;0,1,0),0)</f>
        <v>#REF!</v>
      </c>
    </row>
    <row r="273" spans="11:15" ht="18" customHeight="1" x14ac:dyDescent="0.35">
      <c r="M273" s="6" t="e">
        <f>IF(AND(ch_mod_vers&lt;&gt;"Regrouper",ch_decision=ch_oui),IF(nb_vers_decision=2,1,0),0)</f>
        <v>#REF!</v>
      </c>
    </row>
    <row r="274" spans="11:15" ht="18" customHeight="1" x14ac:dyDescent="0.35">
      <c r="M274" s="6" t="e">
        <f>IF(AND(ch_mod_vers&lt;&gt;"Regrouper",ch_decision=ch_oui),IF(nb_vers_decision=2,1,0),0)</f>
        <v>#REF!</v>
      </c>
    </row>
    <row r="275" spans="11:15" ht="18" customHeight="1" x14ac:dyDescent="0.35">
      <c r="M275" s="6" t="e">
        <f>IF(AND(ch_mod_vers&lt;&gt;"Regrouper",ch_decision=ch_oui),IF(nb_vers_decision&gt;0,1,0),0)</f>
        <v>#REF!</v>
      </c>
    </row>
    <row r="276" spans="11:15" ht="18" customHeight="1" x14ac:dyDescent="0.35">
      <c r="M276" s="6" t="e">
        <f>IF(AND(ch_mod_vers&lt;&gt;"Regrouper",ch_decision=ch_oui),IF(AND(OR(nb_vers_decision=0,nb_vers_decision=""),OR($D$29=0,$D$29="")),0,1),0)</f>
        <v>#REF!</v>
      </c>
    </row>
    <row r="277" spans="11:15" s="3" customFormat="1" ht="18" customHeight="1" x14ac:dyDescent="0.35">
      <c r="K277" s="4"/>
      <c r="L277" s="5"/>
      <c r="M277" s="6" t="e">
        <f>IF(AND(ch_mod_vers&lt;&gt;"Regrouper",ch_decision=ch_oui),1,0)</f>
        <v>#REF!</v>
      </c>
      <c r="N277" s="30"/>
      <c r="O277" s="2"/>
    </row>
    <row r="278" spans="11:15" ht="18" customHeight="1" x14ac:dyDescent="0.35">
      <c r="M278" s="6" t="e">
        <f>IF(AND(ch_mod_vers&lt;&gt;"Regrouper",ch_decision=ch_oui),1,0)</f>
        <v>#REF!</v>
      </c>
    </row>
    <row r="279" spans="11:15" s="3" customFormat="1" ht="18" customHeight="1" x14ac:dyDescent="0.35">
      <c r="K279" s="4"/>
      <c r="L279" s="5"/>
      <c r="M279" s="6" t="e">
        <f>IF(AND(ch_mod_vers&lt;&gt;"Regrouper",ch_decision=ch_oui),1,0)</f>
        <v>#REF!</v>
      </c>
      <c r="N279" s="30"/>
      <c r="O279" s="2"/>
    </row>
    <row r="280" spans="11:15" ht="18" customHeight="1" x14ac:dyDescent="0.35">
      <c r="M280" s="6" t="e">
        <f>IF(AND(ch_mod_vers&lt;&gt;"Regrouper",ch_decision=ch_oui),1,0)</f>
        <v>#REF!</v>
      </c>
    </row>
    <row r="281" spans="11:15" ht="18" customHeight="1" x14ac:dyDescent="0.35">
      <c r="M281" s="6" t="e">
        <f>IF(AND(ch_mod_vers&lt;&gt;"Regrouper",ch_decision=ch_oui),1,0)</f>
        <v>#REF!</v>
      </c>
    </row>
    <row r="282" spans="11:15" ht="18" customHeight="1" x14ac:dyDescent="0.35">
      <c r="M282" s="6" t="e">
        <f>IF(AND(ch_mod_vers&lt;&gt;"Regrouper",ch_inv=ch_oui),1,0)</f>
        <v>#REF!</v>
      </c>
    </row>
    <row r="283" spans="11:15" s="3" customFormat="1" ht="18" customHeight="1" x14ac:dyDescent="0.35">
      <c r="K283" s="4"/>
      <c r="L283" s="5"/>
      <c r="M283" s="6" t="e">
        <f>IF(AND(ch_mod_vers&lt;&gt;"Regrouper",ch_inv=ch_oui),1,0)</f>
        <v>#REF!</v>
      </c>
      <c r="N283" s="30"/>
      <c r="O283" s="2"/>
    </row>
    <row r="284" spans="11:15" ht="18" customHeight="1" x14ac:dyDescent="0.35">
      <c r="M284" s="6" t="e">
        <f>IF(AND(ch_mod_vers&lt;&gt;"Regrouper",ch_inv=ch_oui),1,0)</f>
        <v>#REF!</v>
      </c>
    </row>
    <row r="285" spans="11:15" s="3" customFormat="1" ht="18" customHeight="1" x14ac:dyDescent="0.35">
      <c r="K285" s="4"/>
      <c r="L285" s="5"/>
      <c r="M285" s="6" t="e">
        <f>IF(AND(ch_mod_vers&lt;&gt;"Regrouper",ch_inv=ch_oui),1,0)</f>
        <v>#REF!</v>
      </c>
      <c r="N285" s="30"/>
      <c r="O285" s="2"/>
    </row>
    <row r="286" spans="11:15" ht="18" customHeight="1" x14ac:dyDescent="0.35">
      <c r="M286" s="6" t="e">
        <f>IF(AND(ch_mod_vers&lt;&gt;"Regrouper",ch_inv=ch_oui),IF(AND(OR(nb_vers_inv=0,nb_vers_inv=""),OR($D$30=0,$D$30="")),1,0),0)</f>
        <v>#REF!</v>
      </c>
    </row>
    <row r="287" spans="11:15" ht="18" customHeight="1" x14ac:dyDescent="0.35">
      <c r="M287" s="6" t="e">
        <f>IF(AND(ch_mod_vers&lt;&gt;"Regrouper",ch_inv=ch_oui),IF(AND(OR(nb_vers_inv=0,nb_vers_inv=""),OR($D$30=0,$D$30="")),0,1),0)</f>
        <v>#REF!</v>
      </c>
    </row>
    <row r="288" spans="11:15" ht="18" customHeight="1" x14ac:dyDescent="0.35">
      <c r="M288" s="6" t="e">
        <f>IF(AND(ch_mod_vers&lt;&gt;"Regrouper",ch_inv=ch_oui),IF($D$30&gt;0,1,0),0)</f>
        <v>#REF!</v>
      </c>
    </row>
    <row r="289" spans="11:15" ht="18" customHeight="1" x14ac:dyDescent="0.35">
      <c r="M289" s="6" t="e">
        <f>IF(AND(ch_mod_vers&lt;&gt;"Regrouper",ch_inv=ch_oui),IF(nb_vers_inv=2,1,0),0)</f>
        <v>#REF!</v>
      </c>
    </row>
    <row r="290" spans="11:15" ht="18" customHeight="1" x14ac:dyDescent="0.35">
      <c r="M290" s="6" t="e">
        <f>IF(AND(ch_mod_vers&lt;&gt;"Regrouper",ch_inv=ch_oui),IF(nb_vers_inv=2,1,0),0)</f>
        <v>#REF!</v>
      </c>
    </row>
    <row r="291" spans="11:15" ht="18" customHeight="1" x14ac:dyDescent="0.35">
      <c r="M291" s="6" t="e">
        <f>IF(AND(ch_mod_vers&lt;&gt;"Regrouper",ch_inv=ch_oui),IF(nb_vers_inv&gt;0,1,0),0)</f>
        <v>#REF!</v>
      </c>
    </row>
    <row r="292" spans="11:15" ht="18" customHeight="1" x14ac:dyDescent="0.35">
      <c r="M292" s="6" t="e">
        <f>IF(AND(ch_mod_vers&lt;&gt;"Regrouper",ch_inv=ch_oui),IF(AND(OR(nb_vers_inv=0,nb_vers_inv=""),OR($D$30=0,$D$30="")),0,1),0)</f>
        <v>#REF!</v>
      </c>
    </row>
    <row r="293" spans="11:15" s="3" customFormat="1" ht="18" customHeight="1" x14ac:dyDescent="0.35">
      <c r="K293" s="4"/>
      <c r="L293" s="5"/>
      <c r="M293" s="6" t="e">
        <f>IF(AND(ch_mod_vers&lt;&gt;"Regrouper",ch_inv=ch_oui),1,0)</f>
        <v>#REF!</v>
      </c>
      <c r="N293" s="30"/>
      <c r="O293" s="2"/>
    </row>
    <row r="294" spans="11:15" ht="18" customHeight="1" x14ac:dyDescent="0.35">
      <c r="M294" s="6" t="e">
        <f>IF(AND(ch_mod_vers&lt;&gt;"Regrouper",ch_inv=ch_oui),1,0)</f>
        <v>#REF!</v>
      </c>
    </row>
    <row r="295" spans="11:15" s="3" customFormat="1" ht="18" customHeight="1" x14ac:dyDescent="0.35">
      <c r="K295" s="4"/>
      <c r="L295" s="5"/>
      <c r="M295" s="6" t="e">
        <f>IF(AND(ch_mod_vers&lt;&gt;"Regrouper",ch_inv=ch_oui),1,0)</f>
        <v>#REF!</v>
      </c>
      <c r="N295" s="30"/>
      <c r="O295" s="2"/>
    </row>
    <row r="296" spans="11:15" ht="18" customHeight="1" x14ac:dyDescent="0.35">
      <c r="M296" s="6" t="e">
        <f>IF(AND(ch_inv=ch_oui,OR(ch_type_inv=ch_animation,ch_type_inv=ch_anim_form_com)),1,0)</f>
        <v>#REF!</v>
      </c>
    </row>
    <row r="297" spans="11:15" ht="18" customHeight="1" x14ac:dyDescent="0.35">
      <c r="M297" s="6" t="e">
        <f>IF(AND(ch_inv=ch_oui,OR(ch_type_inv=ch_form_com,ch_type_inv=ch_anim_form_com)),1,0)</f>
        <v>#REF!</v>
      </c>
    </row>
    <row r="298" spans="11:15" s="3" customFormat="1" ht="18" customHeight="1" x14ac:dyDescent="0.35">
      <c r="K298" s="4"/>
      <c r="L298" s="5"/>
      <c r="M298" s="6" t="e">
        <f>IF(AND(ch_mod_vers&lt;&gt;"Regrouper",ch_inv=ch_oui),IF($D$30&gt;0,IF($H$30="A notification",0,1),0),0)</f>
        <v>#REF!</v>
      </c>
      <c r="N298" s="30"/>
      <c r="O298" s="2"/>
    </row>
    <row r="299" spans="11:15" ht="18" customHeight="1" x14ac:dyDescent="0.35">
      <c r="M299" s="6" t="e">
        <f>IF(AND(ch_mod_vers&lt;&gt;"Regrouper",ch_inv=ch_oui),IF($D$30&gt;0,IF($H$30="A notification",0,1),0),0)</f>
        <v>#REF!</v>
      </c>
    </row>
    <row r="300" spans="11:15" ht="18" customHeight="1" x14ac:dyDescent="0.35">
      <c r="M300" s="6" t="e">
        <f>IF(AND(ch_mod_vers&lt;&gt;"Regrouper",ch_inv=ch_oui),1,0)</f>
        <v>#REF!</v>
      </c>
    </row>
    <row r="301" spans="11:15" ht="18" customHeight="1" x14ac:dyDescent="0.35">
      <c r="M301" s="6" t="e">
        <f>IF(AND(ch_mod_vers&lt;&gt;"Regrouper",ch_chg=ch_oui),1,0)</f>
        <v>#REF!</v>
      </c>
    </row>
    <row r="302" spans="11:15" s="3" customFormat="1" ht="18" customHeight="1" x14ac:dyDescent="0.35">
      <c r="K302" s="4"/>
      <c r="L302" s="5"/>
      <c r="M302" s="6" t="e">
        <f>IF(AND(ch_mod_vers&lt;&gt;"Regrouper",ch_chg=ch_oui),1,0)</f>
        <v>#REF!</v>
      </c>
      <c r="N302" s="30"/>
      <c r="O302" s="2"/>
    </row>
    <row r="303" spans="11:15" ht="18" customHeight="1" x14ac:dyDescent="0.35">
      <c r="M303" s="6" t="e">
        <f>IF(AND(ch_mod_vers&lt;&gt;"Regrouper",ch_chg=ch_oui),1,0)</f>
        <v>#REF!</v>
      </c>
    </row>
    <row r="304" spans="11:15" s="3" customFormat="1" ht="18" customHeight="1" x14ac:dyDescent="0.35">
      <c r="K304" s="4"/>
      <c r="L304" s="5"/>
      <c r="M304" s="6" t="e">
        <f>IF(AND(ch_mod_vers&lt;&gt;"Regrouper",ch_chg=ch_oui),1,0)</f>
        <v>#REF!</v>
      </c>
      <c r="N304" s="30"/>
      <c r="O304" s="2"/>
    </row>
    <row r="305" spans="11:15" ht="18" customHeight="1" x14ac:dyDescent="0.35">
      <c r="M305" s="6" t="e">
        <f>IF(AND(ch_mod_vers&lt;&gt;"Regrouper",ch_chg=ch_oui),IF(AND(OR(nb_vers_chg=0,nb_vers_chg=""),OR($D$31=0,$D$31="")),1,0),0)</f>
        <v>#REF!</v>
      </c>
    </row>
    <row r="306" spans="11:15" ht="18" customHeight="1" x14ac:dyDescent="0.35">
      <c r="M306" s="6" t="e">
        <f>IF(AND(ch_mod_vers&lt;&gt;"Regrouper",ch_chg=ch_oui),IF(AND(OR(nb_vers_chg=0,nb_vers_chg=""),OR($D$31=0,$D$31="")),0,1),0)</f>
        <v>#REF!</v>
      </c>
    </row>
    <row r="307" spans="11:15" ht="18" customHeight="1" x14ac:dyDescent="0.35">
      <c r="M307" s="6" t="e">
        <f>IF(AND(ch_mod_vers&lt;&gt;"Regrouper",ch_chg=ch_oui),IF($D$31&gt;0,1,0),0)</f>
        <v>#REF!</v>
      </c>
    </row>
    <row r="308" spans="11:15" ht="18" customHeight="1" x14ac:dyDescent="0.35">
      <c r="M308" s="6" t="e">
        <f>IF(AND(ch_mod_vers&lt;&gt;"Regrouper",ch_chg=ch_oui),IF(nb_vers_chg=2,1,0),0)</f>
        <v>#REF!</v>
      </c>
    </row>
    <row r="309" spans="11:15" ht="18" customHeight="1" x14ac:dyDescent="0.35">
      <c r="M309" s="6" t="e">
        <f>IF(AND(ch_mod_vers&lt;&gt;"Regrouper",ch_chg=ch_oui),IF(nb_vers_chg=2,1,0),0)</f>
        <v>#REF!</v>
      </c>
    </row>
    <row r="310" spans="11:15" ht="18" customHeight="1" x14ac:dyDescent="0.35">
      <c r="M310" s="6" t="e">
        <f>IF(AND(ch_mod_vers&lt;&gt;"Regrouper",ch_chg=ch_oui),IF(nb_vers_chg&gt;0,1,0),0)</f>
        <v>#REF!</v>
      </c>
    </row>
    <row r="311" spans="11:15" ht="18" customHeight="1" x14ac:dyDescent="0.35">
      <c r="M311" s="6" t="e">
        <f>IF(AND(ch_mod_vers&lt;&gt;"Regrouper",ch_chg=ch_oui),IF(AND(OR(nb_vers_chg=0,nb_vers_chg=""),OR($D$31=0,$D$31="")),0,1),0)</f>
        <v>#REF!</v>
      </c>
    </row>
    <row r="312" spans="11:15" s="3" customFormat="1" ht="18" customHeight="1" x14ac:dyDescent="0.35">
      <c r="K312" s="4"/>
      <c r="L312" s="5"/>
      <c r="M312" s="6" t="e">
        <f>IF(AND(ch_mod_vers&lt;&gt;"Regrouper",ch_chg=ch_oui),1,0)</f>
        <v>#REF!</v>
      </c>
      <c r="N312" s="30"/>
      <c r="O312" s="2"/>
    </row>
    <row r="313" spans="11:15" ht="18" customHeight="1" x14ac:dyDescent="0.35">
      <c r="M313" s="6" t="e">
        <f>IF(AND(ch_mod_vers&lt;&gt;"Regrouper",ch_chg=ch_oui),1,0)</f>
        <v>#REF!</v>
      </c>
    </row>
    <row r="314" spans="11:15" s="3" customFormat="1" ht="18" customHeight="1" x14ac:dyDescent="0.35">
      <c r="K314" s="4"/>
      <c r="L314" s="5"/>
      <c r="M314" s="6" t="e">
        <f>IF(AND(ch_mod_vers&lt;&gt;"Regrouper",ch_inv=ch_oui),1,0)</f>
        <v>#REF!</v>
      </c>
      <c r="N314" s="30"/>
      <c r="O314" s="2"/>
    </row>
    <row r="315" spans="11:15" ht="18" customHeight="1" x14ac:dyDescent="0.35">
      <c r="M315" s="6" t="e">
        <f>IF(AND(ch_mod_vers&lt;&gt;"Regrouper",ch_chg=ch_oui),1,0)</f>
        <v>#REF!</v>
      </c>
    </row>
    <row r="316" spans="11:15" s="3" customFormat="1" ht="18" customHeight="1" x14ac:dyDescent="0.35">
      <c r="K316" s="4"/>
      <c r="L316" s="5"/>
      <c r="M316" s="6" t="e">
        <f>IF(AND(ch_mod_vers&lt;&gt;"Regrouper",ch_chg=ch_oui),1,0)</f>
        <v>#REF!</v>
      </c>
      <c r="N316" s="30"/>
      <c r="O316" s="2"/>
    </row>
    <row r="317" spans="11:15" ht="18" customHeight="1" x14ac:dyDescent="0.35">
      <c r="M317" s="6" t="e">
        <f>IF(ch_mod_vers="Regrouper",1,0)</f>
        <v>#REF!</v>
      </c>
    </row>
    <row r="318" spans="11:15" s="3" customFormat="1" ht="18" customHeight="1" x14ac:dyDescent="0.35">
      <c r="K318" s="4"/>
      <c r="L318" s="5"/>
      <c r="M318" s="6" t="e">
        <f>IF(ch_mod_vers="Regrouper",1,0)</f>
        <v>#REF!</v>
      </c>
      <c r="N318" s="30"/>
      <c r="O318" s="2"/>
    </row>
    <row r="319" spans="11:15" ht="18" customHeight="1" x14ac:dyDescent="0.35">
      <c r="M319" s="6" t="e">
        <f>IF(ch_mod_vers="Regrouper",IF(AND(OR(nb_vers_tt_aides=0,nb_vers_tt_aides=""),OR($D$32=0,$D$32="")),1,0),0)</f>
        <v>#REF!</v>
      </c>
    </row>
    <row r="320" spans="11:15" ht="18" customHeight="1" x14ac:dyDescent="0.35">
      <c r="M320" s="6" t="e">
        <f>IF(ch_mod_vers="Regrouper",IF(AND(OR(nb_vers_tt_aides=0,nb_vers_tt_aides=""),OR($D$32=0,$D$32="")),0,1),0)</f>
        <v>#REF!</v>
      </c>
    </row>
    <row r="321" spans="11:15" ht="18" customHeight="1" x14ac:dyDescent="0.35">
      <c r="M321" s="6" t="e">
        <f>IF(ch_mod_vers="Regrouper",IF($D$32&gt;0,1,0),0)</f>
        <v>#REF!</v>
      </c>
    </row>
    <row r="322" spans="11:15" ht="18" customHeight="1" x14ac:dyDescent="0.35">
      <c r="M322" s="6" t="e">
        <f>IF(ch_mod_vers="Regrouper",IF(nb_vers_tt_aides=2,1,0),0)</f>
        <v>#REF!</v>
      </c>
    </row>
    <row r="323" spans="11:15" ht="18" customHeight="1" x14ac:dyDescent="0.35">
      <c r="M323" s="6" t="e">
        <f>IF(ch_mod_vers="Regrouper",IF(nb_vers_tt_aides=2,1,0),0)</f>
        <v>#REF!</v>
      </c>
    </row>
    <row r="324" spans="11:15" ht="18" customHeight="1" x14ac:dyDescent="0.35">
      <c r="M324" s="6" t="e">
        <f>IF(ch_mod_vers="Regrouper",IF(nb_vers_tt_aides&gt;0,1,0),0)</f>
        <v>#REF!</v>
      </c>
    </row>
    <row r="325" spans="11:15" ht="18" customHeight="1" x14ac:dyDescent="0.35">
      <c r="M325" s="6" t="e">
        <f>IF(ch_mod_vers="Regrouper",IF(AND(OR(nb_vers_tt_aides=0,nb_vers_tt_aides=""),OR($D$32=0,$D$32="")),0,1),0)</f>
        <v>#REF!</v>
      </c>
    </row>
    <row r="326" spans="11:15" s="3" customFormat="1" ht="18" customHeight="1" x14ac:dyDescent="0.35">
      <c r="K326" s="4"/>
      <c r="L326" s="5"/>
      <c r="M326" s="6" t="e">
        <f>IF(ch_mod_vers="Regrouper",1,0)</f>
        <v>#REF!</v>
      </c>
      <c r="N326" s="30"/>
      <c r="O326" s="2"/>
    </row>
    <row r="327" spans="11:15" ht="18" customHeight="1" x14ac:dyDescent="0.35">
      <c r="M327" s="6" t="e">
        <f>IF(ch_mod_vers="Regrouper",1,0)</f>
        <v>#REF!</v>
      </c>
    </row>
    <row r="328" spans="11:15" s="3" customFormat="1" ht="18" customHeight="1" x14ac:dyDescent="0.35">
      <c r="K328" s="4"/>
      <c r="L328" s="5"/>
      <c r="M328" s="6" t="e">
        <f>IF(ch_mod_vers="Regrouper",1,0)</f>
        <v>#REF!</v>
      </c>
      <c r="N328" s="30"/>
      <c r="O328" s="2"/>
    </row>
    <row r="329" spans="11:15" ht="18" customHeight="1" x14ac:dyDescent="0.35">
      <c r="M329" s="6" t="e">
        <f>IF(ch_mod_vers="Regrouper",1,0)</f>
        <v>#REF!</v>
      </c>
    </row>
    <row r="330" spans="11:15" s="3" customFormat="1" ht="18" customHeight="1" x14ac:dyDescent="0.35">
      <c r="K330" s="4"/>
      <c r="L330" s="5"/>
      <c r="M330" s="6" t="e">
        <f>IF(ch_mod_vers="Regrouper",IF($D$32&gt;0,IF($H$32="A notification",0,1),0),0)</f>
        <v>#REF!</v>
      </c>
      <c r="N330" s="30"/>
      <c r="O330" s="2"/>
    </row>
    <row r="331" spans="11:15" ht="18" customHeight="1" x14ac:dyDescent="0.35">
      <c r="M331" s="6" t="e">
        <f>IF(ch_mod_vers="Regrouper",IF($D$32&gt;0,IF($H$32="A notification",0,1),0),0)</f>
        <v>#REF!</v>
      </c>
    </row>
  </sheetData>
  <mergeCells count="43">
    <mergeCell ref="D115:E115"/>
    <mergeCell ref="D116:E116"/>
    <mergeCell ref="D117:E117"/>
    <mergeCell ref="C125:E125"/>
    <mergeCell ref="D118:E118"/>
    <mergeCell ref="D119:E119"/>
    <mergeCell ref="C120:C124"/>
    <mergeCell ref="D120:E120"/>
    <mergeCell ref="D121:E121"/>
    <mergeCell ref="D122:E122"/>
    <mergeCell ref="D123:E123"/>
    <mergeCell ref="D124:E124"/>
    <mergeCell ref="B129:F129"/>
    <mergeCell ref="B131:F131"/>
    <mergeCell ref="D103:E103"/>
    <mergeCell ref="C104:C111"/>
    <mergeCell ref="D104:E104"/>
    <mergeCell ref="D105:E105"/>
    <mergeCell ref="D106:E106"/>
    <mergeCell ref="D107:E107"/>
    <mergeCell ref="D108:E108"/>
    <mergeCell ref="D109:E109"/>
    <mergeCell ref="D110:E110"/>
    <mergeCell ref="D111:E111"/>
    <mergeCell ref="C112:C119"/>
    <mergeCell ref="D112:E112"/>
    <mergeCell ref="D113:E113"/>
    <mergeCell ref="D114:E114"/>
    <mergeCell ref="C51:F51"/>
    <mergeCell ref="B38:H38"/>
    <mergeCell ref="B39:H39"/>
    <mergeCell ref="B40:H40"/>
    <mergeCell ref="B46:H46"/>
    <mergeCell ref="C50:F50"/>
    <mergeCell ref="O9:R9"/>
    <mergeCell ref="A1:E1"/>
    <mergeCell ref="G20:H20"/>
    <mergeCell ref="C21:E21"/>
    <mergeCell ref="B6:C6"/>
    <mergeCell ref="B7:C7"/>
    <mergeCell ref="B4:C4"/>
    <mergeCell ref="B5:C5"/>
    <mergeCell ref="G12:H12"/>
  </mergeCells>
  <conditionalFormatting sqref="F28">
    <cfRule type="expression" dxfId="42" priority="89">
      <formula>$C$28&lt;2</formula>
    </cfRule>
  </conditionalFormatting>
  <conditionalFormatting sqref="F29">
    <cfRule type="expression" dxfId="41" priority="88">
      <formula>$C$29&lt;2</formula>
    </cfRule>
  </conditionalFormatting>
  <conditionalFormatting sqref="F30">
    <cfRule type="expression" dxfId="40" priority="87">
      <formula>$C$30&lt;2</formula>
    </cfRule>
  </conditionalFormatting>
  <conditionalFormatting sqref="F31">
    <cfRule type="expression" dxfId="39" priority="86">
      <formula>$C$31&lt;2</formula>
    </cfRule>
  </conditionalFormatting>
  <conditionalFormatting sqref="E28">
    <cfRule type="expression" dxfId="38" priority="85">
      <formula>$C$28&lt;1</formula>
    </cfRule>
  </conditionalFormatting>
  <conditionalFormatting sqref="E29">
    <cfRule type="expression" dxfId="37" priority="84">
      <formula>$C$29&lt;1</formula>
    </cfRule>
  </conditionalFormatting>
  <conditionalFormatting sqref="E30">
    <cfRule type="expression" dxfId="36" priority="83">
      <formula>$C$30&lt;1</formula>
    </cfRule>
  </conditionalFormatting>
  <conditionalFormatting sqref="E31">
    <cfRule type="expression" dxfId="35" priority="82">
      <formula>$C$31&lt;1</formula>
    </cfRule>
  </conditionalFormatting>
  <conditionalFormatting sqref="H18">
    <cfRule type="expression" dxfId="34" priority="81">
      <formula>OR($D$18=ch_non,$D$18="")</formula>
    </cfRule>
  </conditionalFormatting>
  <conditionalFormatting sqref="F20:H20 K20:K21 F21:G21">
    <cfRule type="expression" dxfId="33" priority="79">
      <formula>OR($D$20=ch_non,$D$20="")</formula>
    </cfRule>
  </conditionalFormatting>
  <conditionalFormatting sqref="E12:F12 F21:G21">
    <cfRule type="expression" dxfId="32" priority="68">
      <formula>$C$12=ch_non_eco</formula>
    </cfRule>
  </conditionalFormatting>
  <conditionalFormatting sqref="L4:L7">
    <cfRule type="expression" dxfId="31" priority="67">
      <formula>$H$4="Aide ADEME"</formula>
    </cfRule>
  </conditionalFormatting>
  <conditionalFormatting sqref="D14 G65 D112 D121:F123 D113:E118 F112:F118 G58:H64 G66:H76 B75:B76 B63 D105:F110 G51:H51 C51">
    <cfRule type="expression" dxfId="30" priority="65">
      <formula>$D$36=ch_oui</formula>
    </cfRule>
  </conditionalFormatting>
  <conditionalFormatting sqref="H28">
    <cfRule type="expression" dxfId="29" priority="90">
      <formula>OR($D$28=0,$D$28="")</formula>
    </cfRule>
  </conditionalFormatting>
  <conditionalFormatting sqref="H29">
    <cfRule type="expression" dxfId="28" priority="91">
      <formula>OR($D$29=0,$D$29="")</formula>
    </cfRule>
  </conditionalFormatting>
  <conditionalFormatting sqref="H28:H32">
    <cfRule type="expression" dxfId="27" priority="92">
      <formula>OR($D$30=0,$D$30="")</formula>
    </cfRule>
  </conditionalFormatting>
  <conditionalFormatting sqref="H31:H32">
    <cfRule type="expression" dxfId="26" priority="93">
      <formula>OR($D$31=0,$D$31="")</formula>
    </cfRule>
  </conditionalFormatting>
  <conditionalFormatting sqref="G28">
    <cfRule type="expression" dxfId="25" priority="63">
      <formula>$C$28&lt;&gt;3</formula>
    </cfRule>
  </conditionalFormatting>
  <conditionalFormatting sqref="G29">
    <cfRule type="expression" dxfId="24" priority="60">
      <formula>$C$29&lt;3</formula>
    </cfRule>
  </conditionalFormatting>
  <conditionalFormatting sqref="G30">
    <cfRule type="expression" dxfId="23" priority="59">
      <formula>$C$30&lt;3</formula>
    </cfRule>
  </conditionalFormatting>
  <conditionalFormatting sqref="F32">
    <cfRule type="expression" dxfId="22" priority="62">
      <formula>$C$32&lt;2</formula>
    </cfRule>
  </conditionalFormatting>
  <conditionalFormatting sqref="E32">
    <cfRule type="expression" dxfId="21" priority="61">
      <formula>$C$32&lt;1</formula>
    </cfRule>
  </conditionalFormatting>
  <conditionalFormatting sqref="G31">
    <cfRule type="expression" dxfId="20" priority="58">
      <formula>$C$31&lt;3</formula>
    </cfRule>
  </conditionalFormatting>
  <conditionalFormatting sqref="G32">
    <cfRule type="expression" dxfId="19" priority="57">
      <formula>$C$32&lt;3</formula>
    </cfRule>
  </conditionalFormatting>
  <conditionalFormatting sqref="G11:H11">
    <cfRule type="expression" dxfId="18" priority="38">
      <formula>$H$14&lt;2</formula>
    </cfRule>
  </conditionalFormatting>
  <conditionalFormatting sqref="H65">
    <cfRule type="expression" dxfId="17" priority="37">
      <formula>$D$36=ch_oui</formula>
    </cfRule>
  </conditionalFormatting>
  <conditionalFormatting sqref="I200">
    <cfRule type="expression" dxfId="16" priority="35">
      <formula>$D$36=ch_oui</formula>
    </cfRule>
  </conditionalFormatting>
  <conditionalFormatting sqref="B74">
    <cfRule type="expression" dxfId="15" priority="34">
      <formula>$D$36=ch_oui</formula>
    </cfRule>
  </conditionalFormatting>
  <conditionalFormatting sqref="B73">
    <cfRule type="expression" dxfId="14" priority="33">
      <formula>$D$36=ch_oui</formula>
    </cfRule>
  </conditionalFormatting>
  <conditionalFormatting sqref="B72">
    <cfRule type="expression" dxfId="13" priority="32">
      <formula>$D$36=ch_oui</formula>
    </cfRule>
  </conditionalFormatting>
  <conditionalFormatting sqref="B67:B71">
    <cfRule type="expression" dxfId="12" priority="31">
      <formula>$D$36=ch_oui</formula>
    </cfRule>
  </conditionalFormatting>
  <conditionalFormatting sqref="B62">
    <cfRule type="expression" dxfId="11" priority="29">
      <formula>$D$36=ch_oui</formula>
    </cfRule>
  </conditionalFormatting>
  <conditionalFormatting sqref="B61">
    <cfRule type="expression" dxfId="10" priority="28">
      <formula>$D$36=ch_oui</formula>
    </cfRule>
  </conditionalFormatting>
  <conditionalFormatting sqref="B60">
    <cfRule type="expression" dxfId="9" priority="27">
      <formula>$D$36=ch_oui</formula>
    </cfRule>
  </conditionalFormatting>
  <conditionalFormatting sqref="B59">
    <cfRule type="expression" dxfId="8" priority="26">
      <formula>$D$36=ch_oui</formula>
    </cfRule>
  </conditionalFormatting>
  <conditionalFormatting sqref="B58">
    <cfRule type="expression" dxfId="7" priority="25">
      <formula>$D$36=ch_oui</formula>
    </cfRule>
  </conditionalFormatting>
  <conditionalFormatting sqref="B66">
    <cfRule type="expression" dxfId="6" priority="24">
      <formula>$D$36=ch_oui</formula>
    </cfRule>
  </conditionalFormatting>
  <conditionalFormatting sqref="B65">
    <cfRule type="expression" dxfId="5" priority="23">
      <formula>$D$36=ch_oui</formula>
    </cfRule>
  </conditionalFormatting>
  <conditionalFormatting sqref="B64">
    <cfRule type="expression" dxfId="4" priority="22">
      <formula>$D$36=ch_oui</formula>
    </cfRule>
  </conditionalFormatting>
  <conditionalFormatting sqref="F104">
    <cfRule type="expression" dxfId="3" priority="5">
      <formula>$D$36=ch_oui</formula>
    </cfRule>
  </conditionalFormatting>
  <conditionalFormatting sqref="G18">
    <cfRule type="expression" dxfId="2" priority="2">
      <formula>OR($D$20=ch_non,$D$20="")</formula>
    </cfRule>
  </conditionalFormatting>
  <conditionalFormatting sqref="G18">
    <cfRule type="expression" dxfId="1" priority="1">
      <formula>$C$12=ch_non_eco</formula>
    </cfRule>
  </conditionalFormatting>
  <conditionalFormatting sqref="O133:O134">
    <cfRule type="expression" dxfId="0" priority="97">
      <formula>#REF!="ADEME"</formula>
    </cfRule>
  </conditionalFormatting>
  <dataValidations count="11">
    <dataValidation type="list" allowBlank="1" showInputMessage="1" showErrorMessage="1" sqref="H18">
      <formula1>list_decision</formula1>
    </dataValidation>
    <dataValidation type="list" allowBlank="1" showInputMessage="1" showErrorMessage="1" sqref="G20:H20 K20">
      <formula1>list_inv</formula1>
    </dataValidation>
    <dataValidation type="whole" allowBlank="1" showInputMessage="1" showErrorMessage="1" sqref="H14">
      <formula1>1</formula1>
      <formula2>7</formula2>
    </dataValidation>
    <dataValidation type="list" allowBlank="1" showInputMessage="1" showErrorMessage="1" sqref="F25">
      <formula1>list_mod_vers</formula1>
    </dataValidation>
    <dataValidation type="list" allowBlank="1" showInputMessage="1" showErrorMessage="1" sqref="K28:K32">
      <formula1>"début,fin"</formula1>
    </dataValidation>
    <dataValidation type="list" allowBlank="1" showInputMessage="1" showErrorMessage="1" sqref="F11">
      <formula1>list_avenant</formula1>
    </dataValidation>
    <dataValidation type="list" allowBlank="1" showInputMessage="1" showErrorMessage="1" sqref="H28:H32">
      <formula1>list_mod_avance</formula1>
    </dataValidation>
    <dataValidation type="decimal" allowBlank="1" showInputMessage="1" showErrorMessage="1" sqref="D28:D32">
      <formula1>0</formula1>
      <formula2>0.2</formula2>
    </dataValidation>
    <dataValidation type="list" allowBlank="1" showInputMessage="1" showErrorMessage="1" sqref="C14">
      <formula1>"2020,après 2020"</formula1>
    </dataValidation>
    <dataValidation type="list" allowBlank="1" showInputMessage="1" showErrorMessage="1" sqref="C28:C32">
      <formula1>"0,1,2,3"</formula1>
    </dataValidation>
    <dataValidation type="list" allowBlank="1" showInputMessage="1" showErrorMessage="1" sqref="D36 L28:L32 O28:O32 H11">
      <formula1>list_oui_non</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'Listes (masqué)'!$D$7:$D$9</xm:f>
          </x14:formula1>
          <xm:sqref>F13</xm:sqref>
        </x14:dataValidation>
        <x14:dataValidation type="list" allowBlank="1" showInputMessage="1" showErrorMessage="1">
          <x14:formula1>
            <xm:f>'Listes (masqué)'!$B$10:$B$14</xm:f>
          </x14:formula1>
          <xm:sqref>C13</xm:sqref>
        </x14:dataValidation>
        <x14:dataValidation type="list" allowBlank="1" showInputMessage="1" showErrorMessage="1">
          <x14:formula1>
            <xm:f>'Listes (masqué)'!$B$16:$B$18</xm:f>
          </x14:formula1>
          <xm:sqref>F12</xm:sqref>
        </x14:dataValidation>
        <x14:dataValidation type="list" allowBlank="1" showInputMessage="1" showErrorMessage="1">
          <x14:formula1>
            <xm:f>'Listes (masqué)'!$B$7:$B$8</xm:f>
          </x14:formula1>
          <xm:sqref>C12</xm:sqref>
        </x14:dataValidation>
        <x14:dataValidation type="list" allowBlank="1" showInputMessage="1" showErrorMessage="1" error="Veuillez choisir une option dans la liste">
          <x14:formula1>
            <xm:f>'Listes (masqué)'!$B$2:$B$4</xm:f>
          </x14:formula1>
          <xm:sqref>C21:E21</xm:sqref>
        </x14:dataValidation>
        <x14:dataValidation type="list" allowBlank="1" showInputMessage="1" showErrorMessage="1">
          <x14:formula1>
            <xm:f>'Listes (masqué)'!$D$11:$D$12</xm:f>
          </x14:formula1>
          <xm:sqref>D18 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J11"/>
  <sheetViews>
    <sheetView workbookViewId="0">
      <selection activeCell="F13" sqref="F13"/>
    </sheetView>
  </sheetViews>
  <sheetFormatPr baseColWidth="10" defaultRowHeight="14.5" x14ac:dyDescent="0.35"/>
  <sheetData>
    <row r="1" spans="1:10" ht="40" x14ac:dyDescent="0.8">
      <c r="A1" s="158" t="s">
        <v>121</v>
      </c>
    </row>
    <row r="4" spans="1:10" ht="15.5" x14ac:dyDescent="0.35">
      <c r="A4" s="159" t="s">
        <v>105</v>
      </c>
    </row>
    <row r="5" spans="1:10" x14ac:dyDescent="0.35">
      <c r="A5" s="172" t="s">
        <v>123</v>
      </c>
    </row>
    <row r="6" spans="1:10" x14ac:dyDescent="0.35">
      <c r="A6" s="160"/>
    </row>
    <row r="7" spans="1:10" ht="15.5" x14ac:dyDescent="0.35">
      <c r="A7" s="159" t="s">
        <v>122</v>
      </c>
    </row>
    <row r="8" spans="1:10" x14ac:dyDescent="0.35">
      <c r="A8" s="173" t="s">
        <v>124</v>
      </c>
    </row>
    <row r="9" spans="1:10" ht="164" customHeight="1" x14ac:dyDescent="0.35">
      <c r="B9" s="215" t="s">
        <v>139</v>
      </c>
      <c r="C9" s="215"/>
      <c r="D9" s="215"/>
      <c r="E9" s="215"/>
      <c r="F9" s="215"/>
      <c r="G9" s="215"/>
      <c r="H9" s="215"/>
      <c r="I9" s="215"/>
      <c r="J9" s="215"/>
    </row>
    <row r="10" spans="1:10" x14ac:dyDescent="0.35">
      <c r="A10" s="216" t="s">
        <v>125</v>
      </c>
      <c r="B10" s="216"/>
      <c r="C10" s="216"/>
      <c r="D10" s="216"/>
      <c r="E10" s="216"/>
      <c r="F10" s="216"/>
      <c r="G10" s="216"/>
      <c r="H10" s="216"/>
      <c r="I10" s="216"/>
      <c r="J10" s="216"/>
    </row>
    <row r="11" spans="1:10" ht="30" customHeight="1" x14ac:dyDescent="0.35">
      <c r="A11" s="215" t="s">
        <v>140</v>
      </c>
      <c r="B11" s="215"/>
      <c r="C11" s="215"/>
      <c r="D11" s="215"/>
      <c r="E11" s="215"/>
      <c r="F11" s="215"/>
      <c r="G11" s="215"/>
      <c r="H11" s="215"/>
      <c r="I11" s="215"/>
      <c r="J11" s="215"/>
    </row>
  </sheetData>
  <mergeCells count="3">
    <mergeCell ref="B9:J9"/>
    <mergeCell ref="A10:J10"/>
    <mergeCell ref="A11:J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B2:K18"/>
  <sheetViews>
    <sheetView workbookViewId="0">
      <selection activeCell="B4" sqref="B4"/>
    </sheetView>
  </sheetViews>
  <sheetFormatPr baseColWidth="10" defaultRowHeight="14.5" x14ac:dyDescent="0.35"/>
  <cols>
    <col min="2" max="2" width="15" bestFit="1" customWidth="1"/>
    <col min="7" max="7" width="20.26953125" bestFit="1" customWidth="1"/>
    <col min="11" max="11" width="22.81640625" bestFit="1" customWidth="1"/>
  </cols>
  <sheetData>
    <row r="2" spans="2:11" x14ac:dyDescent="0.35">
      <c r="B2" t="s">
        <v>91</v>
      </c>
    </row>
    <row r="3" spans="2:11" x14ac:dyDescent="0.35">
      <c r="B3" t="s">
        <v>126</v>
      </c>
    </row>
    <row r="4" spans="2:11" x14ac:dyDescent="0.35">
      <c r="B4" t="s">
        <v>92</v>
      </c>
    </row>
    <row r="7" spans="2:11" x14ac:dyDescent="0.35">
      <c r="B7" t="s">
        <v>15</v>
      </c>
      <c r="D7" t="s">
        <v>21</v>
      </c>
      <c r="G7" s="156" t="s">
        <v>114</v>
      </c>
      <c r="H7" s="156" t="s">
        <v>117</v>
      </c>
      <c r="I7" s="156" t="s">
        <v>118</v>
      </c>
      <c r="J7" s="156" t="s">
        <v>119</v>
      </c>
      <c r="K7" s="156" t="s">
        <v>120</v>
      </c>
    </row>
    <row r="8" spans="2:11" ht="18.5" x14ac:dyDescent="0.45">
      <c r="B8" t="s">
        <v>95</v>
      </c>
      <c r="D8" t="s">
        <v>104</v>
      </c>
      <c r="G8" s="156" t="s">
        <v>115</v>
      </c>
      <c r="H8" s="157">
        <v>0.7</v>
      </c>
      <c r="I8" s="157">
        <v>0.6</v>
      </c>
      <c r="J8" s="157">
        <v>0.5</v>
      </c>
      <c r="K8" s="157">
        <v>0.7</v>
      </c>
    </row>
    <row r="9" spans="2:11" ht="18.5" x14ac:dyDescent="0.45">
      <c r="D9" t="s">
        <v>103</v>
      </c>
      <c r="G9" s="156" t="s">
        <v>116</v>
      </c>
      <c r="H9" s="157">
        <v>0.55000000000000004</v>
      </c>
      <c r="I9" s="157">
        <v>0.45</v>
      </c>
      <c r="J9" s="157">
        <v>0.35</v>
      </c>
      <c r="K9" s="157">
        <v>0.55000000000000004</v>
      </c>
    </row>
    <row r="10" spans="2:11" x14ac:dyDescent="0.35">
      <c r="B10" t="s">
        <v>96</v>
      </c>
    </row>
    <row r="11" spans="2:11" x14ac:dyDescent="0.35">
      <c r="B11" t="s">
        <v>97</v>
      </c>
      <c r="D11" t="s">
        <v>26</v>
      </c>
    </row>
    <row r="12" spans="2:11" x14ac:dyDescent="0.35">
      <c r="B12" t="s">
        <v>98</v>
      </c>
      <c r="D12" t="s">
        <v>12</v>
      </c>
    </row>
    <row r="13" spans="2:11" x14ac:dyDescent="0.35">
      <c r="B13" t="s">
        <v>99</v>
      </c>
    </row>
    <row r="14" spans="2:11" x14ac:dyDescent="0.35">
      <c r="B14" t="s">
        <v>100</v>
      </c>
    </row>
    <row r="16" spans="2:11" x14ac:dyDescent="0.35">
      <c r="B16" t="s">
        <v>17</v>
      </c>
    </row>
    <row r="17" spans="2:2" x14ac:dyDescent="0.35">
      <c r="B17" t="s">
        <v>101</v>
      </c>
    </row>
    <row r="18" spans="2:2" x14ac:dyDescent="0.35">
      <c r="B18" t="s">
        <v>102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AF Porteur</vt:lpstr>
      <vt:lpstr>Dépenses éligibles</vt:lpstr>
      <vt:lpstr>Listes (masqué)</vt:lpstr>
    </vt:vector>
  </TitlesOfParts>
  <Company>ADEME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TIZON Quentin</dc:creator>
  <cp:lastModifiedBy>DESANGLOIS Gauthier</cp:lastModifiedBy>
  <dcterms:created xsi:type="dcterms:W3CDTF">2021-03-02T08:22:24Z</dcterms:created>
  <dcterms:modified xsi:type="dcterms:W3CDTF">2022-01-25T11:13:04Z</dcterms:modified>
</cp:coreProperties>
</file>